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enovo\Desktop\Projekt buxheti 2019-2022\"/>
    </mc:Choice>
  </mc:AlternateContent>
  <bookViews>
    <workbookView xWindow="-15" yWindow="-15" windowWidth="19320" windowHeight="6960" tabRatio="949" activeTab="3"/>
  </bookViews>
  <sheets>
    <sheet name="Te dhena fillesat 2022" sheetId="293" r:id="rId1"/>
    <sheet name="Tab_1_Të_Ardhura 2022-2024" sheetId="301" r:id="rId2"/>
    <sheet name="Llog_ardhurave 2022-2024" sheetId="300" r:id="rId3"/>
    <sheet name="P2. Buxheti 2022_2024" sheetId="294" r:id="rId4"/>
    <sheet name="P2. Permbledhese e pagave" sheetId="332" r:id="rId5"/>
    <sheet name="Pagat databaze " sheetId="292" r:id="rId6"/>
    <sheet name="P 4. Nr i punonj 2022-2024" sheetId="285" r:id="rId7"/>
    <sheet name="P5.Art.602_SpRi_08140_2022-2024" sheetId="322" r:id="rId8"/>
    <sheet name="P6. Art 603" sheetId="328" r:id="rId9"/>
    <sheet name="P7.Sporti Rin Art 604_2022-2024" sheetId="297" r:id="rId10"/>
    <sheet name="P8 Art 605_Sporti Rin 2022-2024" sheetId="324" r:id="rId11"/>
    <sheet name="P9 Art 606_09120_2022-2024" sheetId="329" r:id="rId12"/>
    <sheet name="P2. Buxheti Cash flow Viti 2022" sheetId="326" r:id="rId13"/>
    <sheet name="P10. Cash Flow 2022" sheetId="325" r:id="rId14"/>
    <sheet name="P.11 Inves Finan Brend2022-2024" sheetId="327" r:id="rId15"/>
    <sheet name="P.12 Fin. Huaj 2022-2024" sheetId="291" r:id="rId16"/>
    <sheet name="Sheet2" sheetId="308" r:id="rId17"/>
    <sheet name="Sheet3" sheetId="309" r:id="rId18"/>
  </sheets>
  <externalReferences>
    <externalReference r:id="rId19"/>
    <externalReference r:id="rId20"/>
    <externalReference r:id="rId21"/>
  </externalReferences>
  <definedNames>
    <definedName name="_xlnm._FilterDatabase" localSheetId="14" hidden="1">'P.11 Inves Finan Brend2022-2024'!$A$7:$Q$25</definedName>
    <definedName name="_xlnm._FilterDatabase" localSheetId="7" hidden="1">'P5.Art.602_SpRi_08140_2022-2024'!$A$15:$U$96</definedName>
    <definedName name="kapitulli" localSheetId="8">'[1]Formulari 3'!#REF!</definedName>
    <definedName name="kapitulli" localSheetId="11">'[1]Formulari 3'!#REF!</definedName>
    <definedName name="kapitulli">'[1]Formulari 3'!#REF!</definedName>
    <definedName name="_xlnm.Print_Area" localSheetId="2">'Llog_ardhurave 2022-2024'!$A$1:$R$93</definedName>
    <definedName name="_xlnm.Print_Area" localSheetId="6" xml:space="preserve">     'P 4. Nr i punonj 2022-2024'!$A$1:$O$22</definedName>
    <definedName name="_xlnm.Print_Area" localSheetId="14">'P.11 Inves Finan Brend2022-2024'!$A$1:$Q$52</definedName>
    <definedName name="_xlnm.Print_Area" localSheetId="15">'P.12 Fin. Huaj 2022-2024'!$A$1:$W$38</definedName>
    <definedName name="_xlnm.Print_Area" localSheetId="13">'P10. Cash Flow 2022'!$A$1:$O$106</definedName>
    <definedName name="_xlnm.Print_Area" localSheetId="12">'P2. Buxheti Cash flow Viti 2022'!$A$1:$Q$53</definedName>
    <definedName name="_xlnm.Print_Area" localSheetId="7">'P5.Art.602_SpRi_08140_2022-2024'!$A$1:$K$100</definedName>
    <definedName name="_xlnm.Print_Area" localSheetId="8" xml:space="preserve">       'P6. Art 603'!$A$1:$H$39</definedName>
    <definedName name="_xlnm.Print_Area" localSheetId="10">'P8 Art 605_Sporti Rin 2022-2024'!$A$2:$G$30</definedName>
    <definedName name="_xlnm.Print_Area" localSheetId="1">'Tab_1_Të_Ardhura 2022-2024'!$A$1:$L$44</definedName>
    <definedName name="_xlnm.Print_Area" localSheetId="0">'Te dhena fillesat 2022'!$A$1:$E$22</definedName>
    <definedName name="_xlnm.Print_Titles" localSheetId="2">'Llog_ardhurave 2022-2024'!$1:$4</definedName>
    <definedName name="_xlnm.Print_Titles" localSheetId="14">'P.11 Inves Finan Brend2022-2024'!$5:$7</definedName>
    <definedName name="_xlnm.Print_Titles" localSheetId="13">'P10. Cash Flow 2022'!$2:$11</definedName>
    <definedName name="_xlnm.Print_Titles" localSheetId="7">'P5.Art.602_SpRi_08140_2022-2024'!$11:$15</definedName>
    <definedName name="_xlnm.Print_Titles" localSheetId="9">'P7.Sporti Rin Art 604_2022-2024'!$13:$15</definedName>
    <definedName name="_xlnm.Print_Titles" localSheetId="11">'P9 Art 606_09120_2022-2024'!$13:$16</definedName>
    <definedName name="Tavani_Vjetor" localSheetId="14">#REF!</definedName>
    <definedName name="Tavani_Vjetor" localSheetId="8">#REF!</definedName>
    <definedName name="Tavani_Vjetor" localSheetId="11">#REF!</definedName>
    <definedName name="Tavani_Vjetor">#REF!</definedName>
  </definedNames>
  <calcPr calcId="152511"/>
</workbook>
</file>

<file path=xl/calcChain.xml><?xml version="1.0" encoding="utf-8"?>
<calcChain xmlns="http://schemas.openxmlformats.org/spreadsheetml/2006/main">
  <c r="I3" i="332" l="1"/>
  <c r="J26" i="332"/>
  <c r="I26" i="332"/>
  <c r="H26" i="332"/>
  <c r="L25" i="332"/>
  <c r="M25" i="332" s="1"/>
  <c r="G25" i="332"/>
  <c r="L24" i="332"/>
  <c r="M24" i="332" s="1"/>
  <c r="G24" i="332"/>
  <c r="L23" i="332"/>
  <c r="M23" i="332" s="1"/>
  <c r="G23" i="332"/>
  <c r="L22" i="332"/>
  <c r="M22" i="332" s="1"/>
  <c r="G22" i="332"/>
  <c r="G17" i="332"/>
  <c r="L17" i="332" s="1"/>
  <c r="M17" i="332" s="1"/>
  <c r="G16" i="332"/>
  <c r="L16" i="332" s="1"/>
  <c r="M16" i="332" s="1"/>
  <c r="G15" i="332"/>
  <c r="L15" i="332" s="1"/>
  <c r="M15" i="332" s="1"/>
  <c r="G14" i="332"/>
  <c r="L14" i="332" s="1"/>
  <c r="M14" i="332" s="1"/>
  <c r="G13" i="332"/>
  <c r="H8" i="285"/>
  <c r="I8" i="285"/>
  <c r="N15" i="332" l="1"/>
  <c r="O15" i="332"/>
  <c r="P15" i="332" s="1"/>
  <c r="Q15" i="332" s="1"/>
  <c r="N16" i="332"/>
  <c r="O16" i="332"/>
  <c r="P16" i="332" s="1"/>
  <c r="Q16" i="332" s="1"/>
  <c r="N17" i="332"/>
  <c r="O17" i="332"/>
  <c r="P17" i="332" s="1"/>
  <c r="Q17" i="332" s="1"/>
  <c r="N22" i="332"/>
  <c r="O22" i="332"/>
  <c r="P22" i="332" s="1"/>
  <c r="Q22" i="332" s="1"/>
  <c r="N23" i="332"/>
  <c r="Q23" i="332"/>
  <c r="O23" i="332"/>
  <c r="P23" i="332" s="1"/>
  <c r="N24" i="332"/>
  <c r="O24" i="332"/>
  <c r="P24" i="332" s="1"/>
  <c r="Q24" i="332" s="1"/>
  <c r="N25" i="332"/>
  <c r="O25" i="332"/>
  <c r="P25" i="332" s="1"/>
  <c r="Q25" i="332" s="1"/>
  <c r="N14" i="332"/>
  <c r="O14" i="332"/>
  <c r="P14" i="332" s="1"/>
  <c r="Q14" i="332" s="1"/>
  <c r="G26" i="332"/>
  <c r="L13" i="332"/>
  <c r="M13" i="332" s="1"/>
  <c r="J38" i="329"/>
  <c r="I38" i="329"/>
  <c r="H38" i="329"/>
  <c r="G38" i="329"/>
  <c r="F38" i="329"/>
  <c r="E38" i="329"/>
  <c r="D38" i="329"/>
  <c r="C38" i="329"/>
  <c r="J28" i="329"/>
  <c r="I28" i="329"/>
  <c r="H28" i="329"/>
  <c r="G28" i="329"/>
  <c r="F28" i="329"/>
  <c r="E28" i="329"/>
  <c r="D28" i="329"/>
  <c r="C28" i="329"/>
  <c r="J18" i="329"/>
  <c r="I18" i="329"/>
  <c r="H18" i="329"/>
  <c r="G18" i="329"/>
  <c r="F18" i="329"/>
  <c r="E18" i="329"/>
  <c r="D18" i="329"/>
  <c r="C18" i="329"/>
  <c r="J17" i="329"/>
  <c r="J49" i="329" s="1"/>
  <c r="I17" i="329"/>
  <c r="I49" i="329" s="1"/>
  <c r="H17" i="329"/>
  <c r="H49" i="329" s="1"/>
  <c r="G17" i="329"/>
  <c r="G49" i="329" s="1"/>
  <c r="F17" i="329"/>
  <c r="F49" i="329" s="1"/>
  <c r="E17" i="329"/>
  <c r="E49" i="329" s="1"/>
  <c r="D17" i="329"/>
  <c r="D49" i="329" s="1"/>
  <c r="C17" i="329"/>
  <c r="C49" i="329" s="1"/>
  <c r="I13" i="329"/>
  <c r="G13" i="329"/>
  <c r="E13" i="329"/>
  <c r="C13" i="329"/>
  <c r="D5" i="329"/>
  <c r="C5" i="329"/>
  <c r="I4" i="329"/>
  <c r="M26" i="332" l="1"/>
  <c r="O13" i="332"/>
  <c r="L26" i="332"/>
  <c r="N13" i="332"/>
  <c r="N26" i="332" s="1"/>
  <c r="N4" i="294"/>
  <c r="N57" i="294"/>
  <c r="N109" i="294"/>
  <c r="O26" i="332" l="1"/>
  <c r="P13" i="332"/>
  <c r="A32" i="327"/>
  <c r="P26" i="332" l="1"/>
  <c r="Q13" i="332"/>
  <c r="Q26" i="332" s="1"/>
  <c r="H35" i="328"/>
  <c r="D35" i="328"/>
  <c r="H26" i="328"/>
  <c r="G26" i="328"/>
  <c r="F26" i="328"/>
  <c r="E26" i="328"/>
  <c r="D26" i="328"/>
  <c r="C26" i="328"/>
  <c r="H17" i="328"/>
  <c r="G17" i="328"/>
  <c r="G16" i="328" s="1"/>
  <c r="G33" i="328" s="1"/>
  <c r="F17" i="328"/>
  <c r="F16" i="328" s="1"/>
  <c r="F33" i="328" s="1"/>
  <c r="E17" i="328"/>
  <c r="D17" i="328"/>
  <c r="C17" i="328"/>
  <c r="C16" i="328" s="1"/>
  <c r="C33" i="328" s="1"/>
  <c r="H16" i="328"/>
  <c r="H33" i="328" s="1"/>
  <c r="E16" i="328"/>
  <c r="E33" i="328" s="1"/>
  <c r="D16" i="328"/>
  <c r="D33" i="328" s="1"/>
  <c r="E13" i="328"/>
  <c r="D13" i="328"/>
  <c r="H12" i="328"/>
  <c r="G12" i="328"/>
  <c r="F12" i="328"/>
  <c r="E5" i="328"/>
  <c r="D5" i="328"/>
  <c r="H4" i="328"/>
  <c r="C98" i="322" l="1"/>
  <c r="G38" i="326"/>
  <c r="H38" i="326"/>
  <c r="I38" i="326"/>
  <c r="J38" i="326"/>
  <c r="K38" i="326"/>
  <c r="L38" i="326"/>
  <c r="M38" i="326"/>
  <c r="N38" i="326"/>
  <c r="O38" i="326"/>
  <c r="G32" i="326"/>
  <c r="E53" i="325" s="1"/>
  <c r="H32" i="326"/>
  <c r="I32" i="326"/>
  <c r="J32" i="326"/>
  <c r="K32" i="326"/>
  <c r="L32" i="326"/>
  <c r="M32" i="326"/>
  <c r="N32" i="326"/>
  <c r="O32" i="326"/>
  <c r="G26" i="326"/>
  <c r="H26" i="326"/>
  <c r="I26" i="326"/>
  <c r="J26" i="326"/>
  <c r="K26" i="326"/>
  <c r="L26" i="326"/>
  <c r="M26" i="326"/>
  <c r="N26" i="326"/>
  <c r="O26" i="326"/>
  <c r="K53" i="325" l="1"/>
  <c r="N53" i="325"/>
  <c r="F53" i="325"/>
  <c r="C53" i="325"/>
  <c r="G53" i="325"/>
  <c r="J53" i="325"/>
  <c r="L53" i="325"/>
  <c r="H53" i="325"/>
  <c r="D53" i="325"/>
  <c r="M53" i="325"/>
  <c r="I53" i="325"/>
  <c r="G20" i="326"/>
  <c r="H20" i="326"/>
  <c r="I20" i="326"/>
  <c r="J20" i="326"/>
  <c r="K20" i="326"/>
  <c r="L20" i="326"/>
  <c r="M20" i="326"/>
  <c r="N20" i="326"/>
  <c r="O20" i="326"/>
  <c r="K40" i="327" l="1"/>
  <c r="L40" i="327"/>
  <c r="M40" i="327"/>
  <c r="N40" i="327"/>
  <c r="O40" i="327"/>
  <c r="K41" i="327"/>
  <c r="L41" i="327"/>
  <c r="M41" i="327"/>
  <c r="N41" i="327"/>
  <c r="O41" i="327"/>
  <c r="K42" i="327"/>
  <c r="L42" i="327"/>
  <c r="M42" i="327"/>
  <c r="N42" i="327"/>
  <c r="O42" i="327"/>
  <c r="K43" i="327"/>
  <c r="L43" i="327"/>
  <c r="M43" i="327"/>
  <c r="N43" i="327"/>
  <c r="O43" i="327"/>
  <c r="K44" i="327"/>
  <c r="L44" i="327"/>
  <c r="M44" i="327"/>
  <c r="N44" i="327"/>
  <c r="O44" i="327"/>
  <c r="K45" i="327"/>
  <c r="L45" i="327"/>
  <c r="M45" i="327"/>
  <c r="N45" i="327"/>
  <c r="O45" i="327"/>
  <c r="K46" i="327"/>
  <c r="L46" i="327"/>
  <c r="M46" i="327"/>
  <c r="N46" i="327"/>
  <c r="O46" i="327"/>
  <c r="K47" i="327"/>
  <c r="L47" i="327"/>
  <c r="N47" i="327"/>
  <c r="O47" i="327"/>
  <c r="K48" i="327"/>
  <c r="L48" i="327"/>
  <c r="M48" i="327"/>
  <c r="N48" i="327"/>
  <c r="O48" i="327"/>
  <c r="J48" i="327"/>
  <c r="J47" i="327"/>
  <c r="J46" i="327"/>
  <c r="J45" i="327"/>
  <c r="J44" i="327"/>
  <c r="J43" i="327"/>
  <c r="J42" i="327"/>
  <c r="J41" i="327"/>
  <c r="J40" i="327"/>
  <c r="O37" i="327"/>
  <c r="N37" i="327"/>
  <c r="M37" i="327"/>
  <c r="L37" i="327"/>
  <c r="K37" i="327"/>
  <c r="A31" i="327"/>
  <c r="O5" i="327"/>
  <c r="N5" i="327"/>
  <c r="M5" i="327"/>
  <c r="K5" i="327"/>
  <c r="O35" i="291" l="1"/>
  <c r="C100" i="325" l="1"/>
  <c r="D100" i="325"/>
  <c r="E100" i="325"/>
  <c r="F100" i="325"/>
  <c r="G100" i="325"/>
  <c r="H100" i="325"/>
  <c r="I100" i="325"/>
  <c r="J100" i="325"/>
  <c r="K100" i="325"/>
  <c r="L100" i="325"/>
  <c r="M100" i="325"/>
  <c r="N100" i="325"/>
  <c r="C101" i="325"/>
  <c r="D101" i="325"/>
  <c r="E101" i="325"/>
  <c r="F101" i="325"/>
  <c r="G101" i="325"/>
  <c r="H101" i="325"/>
  <c r="I101" i="325"/>
  <c r="J101" i="325"/>
  <c r="K101" i="325"/>
  <c r="L101" i="325"/>
  <c r="M101" i="325"/>
  <c r="N101" i="325"/>
  <c r="B77" i="325"/>
  <c r="B64" i="325"/>
  <c r="B51" i="325"/>
  <c r="O47" i="326"/>
  <c r="N47" i="326"/>
  <c r="M47" i="326"/>
  <c r="L47" i="326"/>
  <c r="L43" i="326" s="1"/>
  <c r="K47" i="326"/>
  <c r="J47" i="326"/>
  <c r="I47" i="326"/>
  <c r="H47" i="326"/>
  <c r="G47" i="326"/>
  <c r="O46" i="326"/>
  <c r="N46" i="326"/>
  <c r="M46" i="326"/>
  <c r="L46" i="326"/>
  <c r="K46" i="326"/>
  <c r="J46" i="326"/>
  <c r="I46" i="326"/>
  <c r="H46" i="326"/>
  <c r="G46" i="326"/>
  <c r="G43" i="326" s="1"/>
  <c r="O41" i="326"/>
  <c r="N41" i="326"/>
  <c r="M41" i="326"/>
  <c r="L41" i="326"/>
  <c r="K41" i="326"/>
  <c r="J41" i="326"/>
  <c r="I41" i="326"/>
  <c r="H41" i="326"/>
  <c r="G41" i="326"/>
  <c r="O40" i="326"/>
  <c r="N40" i="326"/>
  <c r="M40" i="326"/>
  <c r="L40" i="326"/>
  <c r="K40" i="326"/>
  <c r="J40" i="326"/>
  <c r="I40" i="326"/>
  <c r="H40" i="326"/>
  <c r="G40" i="326"/>
  <c r="O35" i="326"/>
  <c r="N35" i="326"/>
  <c r="M35" i="326"/>
  <c r="L35" i="326"/>
  <c r="K35" i="326"/>
  <c r="J35" i="326"/>
  <c r="I35" i="326"/>
  <c r="H35" i="326"/>
  <c r="G35" i="326"/>
  <c r="O34" i="326"/>
  <c r="O31" i="326" s="1"/>
  <c r="N34" i="326"/>
  <c r="M34" i="326"/>
  <c r="L34" i="326"/>
  <c r="K34" i="326"/>
  <c r="J34" i="326"/>
  <c r="I34" i="326"/>
  <c r="H34" i="326"/>
  <c r="G34" i="326"/>
  <c r="G31" i="326" s="1"/>
  <c r="O29" i="326"/>
  <c r="N29" i="326"/>
  <c r="M29" i="326"/>
  <c r="L29" i="326"/>
  <c r="L25" i="326" s="1"/>
  <c r="K29" i="326"/>
  <c r="J29" i="326"/>
  <c r="I29" i="326"/>
  <c r="H29" i="326"/>
  <c r="G29" i="326"/>
  <c r="O28" i="326"/>
  <c r="N28" i="326"/>
  <c r="M28" i="326"/>
  <c r="L28" i="326"/>
  <c r="K28" i="326"/>
  <c r="J28" i="326"/>
  <c r="I28" i="326"/>
  <c r="H28" i="326"/>
  <c r="G28" i="326"/>
  <c r="P20" i="326"/>
  <c r="H22" i="326"/>
  <c r="I22" i="326"/>
  <c r="J22" i="326"/>
  <c r="K22" i="326"/>
  <c r="L22" i="326"/>
  <c r="M22" i="326"/>
  <c r="N22" i="326"/>
  <c r="O22" i="326"/>
  <c r="H23" i="326"/>
  <c r="I23" i="326"/>
  <c r="J23" i="326"/>
  <c r="K23" i="326"/>
  <c r="L23" i="326"/>
  <c r="M23" i="326"/>
  <c r="N23" i="326"/>
  <c r="O23" i="326"/>
  <c r="G22" i="326"/>
  <c r="G23" i="326"/>
  <c r="P24" i="326"/>
  <c r="H16" i="326"/>
  <c r="I16" i="326"/>
  <c r="J16" i="326"/>
  <c r="K16" i="326"/>
  <c r="L16" i="326"/>
  <c r="M16" i="326"/>
  <c r="N16" i="326"/>
  <c r="O16" i="326"/>
  <c r="H17" i="326"/>
  <c r="I17" i="326"/>
  <c r="J17" i="326"/>
  <c r="K17" i="326"/>
  <c r="L17" i="326"/>
  <c r="M17" i="326"/>
  <c r="M13" i="326" s="1"/>
  <c r="N17" i="326"/>
  <c r="O17" i="326"/>
  <c r="G16" i="326"/>
  <c r="G17" i="326"/>
  <c r="P50" i="326"/>
  <c r="P48" i="326"/>
  <c r="P45" i="326"/>
  <c r="P42" i="326"/>
  <c r="P39" i="326"/>
  <c r="P36" i="326"/>
  <c r="P33" i="326"/>
  <c r="K31" i="326"/>
  <c r="P30" i="326"/>
  <c r="P29" i="326"/>
  <c r="P27" i="326"/>
  <c r="G25" i="326"/>
  <c r="P21" i="326"/>
  <c r="O19" i="326"/>
  <c r="H19" i="326"/>
  <c r="P15" i="326"/>
  <c r="N13" i="326"/>
  <c r="J13" i="326"/>
  <c r="P89" i="325"/>
  <c r="O87" i="325"/>
  <c r="P76" i="325"/>
  <c r="O74" i="325"/>
  <c r="O61" i="325"/>
  <c r="O35" i="325"/>
  <c r="O10" i="325"/>
  <c r="O9" i="325"/>
  <c r="O8" i="325"/>
  <c r="I13" i="326" l="1"/>
  <c r="N19" i="326"/>
  <c r="N25" i="326"/>
  <c r="H31" i="326"/>
  <c r="L31" i="326"/>
  <c r="I31" i="326"/>
  <c r="O13" i="326"/>
  <c r="P16" i="326"/>
  <c r="J19" i="326"/>
  <c r="K25" i="326"/>
  <c r="O25" i="326"/>
  <c r="G37" i="326"/>
  <c r="K37" i="326"/>
  <c r="J69" i="325" s="1"/>
  <c r="G13" i="326"/>
  <c r="L13" i="326"/>
  <c r="H13" i="326"/>
  <c r="J25" i="326"/>
  <c r="J37" i="326"/>
  <c r="I68" i="325" s="1"/>
  <c r="L19" i="326"/>
  <c r="N31" i="326"/>
  <c r="M19" i="326"/>
  <c r="I19" i="326"/>
  <c r="J31" i="326"/>
  <c r="H43" i="326"/>
  <c r="I79" i="325" s="1"/>
  <c r="P34" i="326"/>
  <c r="I43" i="326"/>
  <c r="F80" i="325" s="1"/>
  <c r="P47" i="326"/>
  <c r="K13" i="326"/>
  <c r="P23" i="326"/>
  <c r="P22" i="326"/>
  <c r="P40" i="326"/>
  <c r="I25" i="326"/>
  <c r="M25" i="326"/>
  <c r="M31" i="326"/>
  <c r="D58" i="325" s="1"/>
  <c r="I37" i="326"/>
  <c r="H67" i="325" s="1"/>
  <c r="P41" i="326"/>
  <c r="P52" i="326"/>
  <c r="D78" i="325"/>
  <c r="H78" i="325"/>
  <c r="L78" i="325"/>
  <c r="E78" i="325"/>
  <c r="I78" i="325"/>
  <c r="M78" i="325"/>
  <c r="K78" i="325"/>
  <c r="C78" i="325"/>
  <c r="F78" i="325"/>
  <c r="J78" i="325"/>
  <c r="N78" i="325"/>
  <c r="G78" i="325"/>
  <c r="E79" i="325"/>
  <c r="D79" i="325"/>
  <c r="N79" i="325"/>
  <c r="G79" i="325"/>
  <c r="L79" i="325"/>
  <c r="F69" i="325"/>
  <c r="N69" i="325"/>
  <c r="E69" i="325"/>
  <c r="G69" i="325"/>
  <c r="C69" i="325"/>
  <c r="I69" i="325"/>
  <c r="D69" i="325"/>
  <c r="L69" i="325"/>
  <c r="M69" i="325"/>
  <c r="E68" i="325"/>
  <c r="M68" i="325"/>
  <c r="F68" i="325"/>
  <c r="J68" i="325"/>
  <c r="H68" i="325"/>
  <c r="G68" i="325"/>
  <c r="K68" i="325"/>
  <c r="D68" i="325"/>
  <c r="L68" i="325"/>
  <c r="F65" i="325"/>
  <c r="J65" i="325"/>
  <c r="N65" i="325"/>
  <c r="G65" i="325"/>
  <c r="K65" i="325"/>
  <c r="C65" i="325"/>
  <c r="E65" i="325"/>
  <c r="I65" i="325"/>
  <c r="D65" i="325"/>
  <c r="H65" i="325"/>
  <c r="L65" i="325"/>
  <c r="M65" i="325"/>
  <c r="D67" i="325"/>
  <c r="L67" i="325"/>
  <c r="K67" i="325"/>
  <c r="C67" i="325"/>
  <c r="I67" i="325"/>
  <c r="M67" i="325"/>
  <c r="G67" i="325"/>
  <c r="J67" i="325"/>
  <c r="N67" i="325"/>
  <c r="F60" i="325"/>
  <c r="J60" i="325"/>
  <c r="N60" i="325"/>
  <c r="M60" i="325"/>
  <c r="G60" i="325"/>
  <c r="K60" i="325"/>
  <c r="C60" i="325"/>
  <c r="I60" i="325"/>
  <c r="D60" i="325"/>
  <c r="H60" i="325"/>
  <c r="L60" i="325"/>
  <c r="E60" i="325"/>
  <c r="F56" i="325"/>
  <c r="J56" i="325"/>
  <c r="N56" i="325"/>
  <c r="M56" i="325"/>
  <c r="G56" i="325"/>
  <c r="K56" i="325"/>
  <c r="C56" i="325"/>
  <c r="I56" i="325"/>
  <c r="D56" i="325"/>
  <c r="H56" i="325"/>
  <c r="L56" i="325"/>
  <c r="E56" i="325"/>
  <c r="D54" i="325"/>
  <c r="H54" i="325"/>
  <c r="L54" i="325"/>
  <c r="K54" i="325"/>
  <c r="E54" i="325"/>
  <c r="I54" i="325"/>
  <c r="M54" i="325"/>
  <c r="G54" i="325"/>
  <c r="C54" i="325"/>
  <c r="F54" i="325"/>
  <c r="J54" i="325"/>
  <c r="N54" i="325"/>
  <c r="E55" i="325"/>
  <c r="I55" i="325"/>
  <c r="M55" i="325"/>
  <c r="L55" i="325"/>
  <c r="F55" i="325"/>
  <c r="J55" i="325"/>
  <c r="N55" i="325"/>
  <c r="H55" i="325"/>
  <c r="G55" i="325"/>
  <c r="K55" i="325"/>
  <c r="C55" i="325"/>
  <c r="D55" i="325"/>
  <c r="L58" i="325"/>
  <c r="K58" i="325"/>
  <c r="M58" i="325"/>
  <c r="F58" i="325"/>
  <c r="G58" i="325"/>
  <c r="C58" i="325"/>
  <c r="G57" i="325"/>
  <c r="K57" i="325"/>
  <c r="C57" i="325"/>
  <c r="J57" i="325"/>
  <c r="D57" i="325"/>
  <c r="H57" i="325"/>
  <c r="L57" i="325"/>
  <c r="N57" i="325"/>
  <c r="E57" i="325"/>
  <c r="I57" i="325"/>
  <c r="M57" i="325"/>
  <c r="F57" i="325"/>
  <c r="F52" i="325"/>
  <c r="J52" i="325"/>
  <c r="N52" i="325"/>
  <c r="E52" i="325"/>
  <c r="I52" i="325"/>
  <c r="G52" i="325"/>
  <c r="K52" i="325"/>
  <c r="C52" i="325"/>
  <c r="D52" i="325"/>
  <c r="H52" i="325"/>
  <c r="L52" i="325"/>
  <c r="M52" i="325"/>
  <c r="E59" i="325"/>
  <c r="I59" i="325"/>
  <c r="M59" i="325"/>
  <c r="L59" i="325"/>
  <c r="F59" i="325"/>
  <c r="J59" i="325"/>
  <c r="N59" i="325"/>
  <c r="H59" i="325"/>
  <c r="G59" i="325"/>
  <c r="K59" i="325"/>
  <c r="C59" i="325"/>
  <c r="D59" i="325"/>
  <c r="M37" i="326"/>
  <c r="L37" i="326"/>
  <c r="P35" i="326"/>
  <c r="P26" i="326"/>
  <c r="P28" i="326"/>
  <c r="K19" i="326"/>
  <c r="G19" i="326"/>
  <c r="P14" i="326"/>
  <c r="P18" i="326"/>
  <c r="P17" i="326"/>
  <c r="H25" i="326"/>
  <c r="P32" i="326"/>
  <c r="P46" i="326"/>
  <c r="H37" i="326"/>
  <c r="O23" i="325"/>
  <c r="O22" i="325"/>
  <c r="O48" i="325"/>
  <c r="C79" i="325" l="1"/>
  <c r="H79" i="325"/>
  <c r="F79" i="325"/>
  <c r="M79" i="325"/>
  <c r="L12" i="326"/>
  <c r="F67" i="325"/>
  <c r="E67" i="325"/>
  <c r="C68" i="325"/>
  <c r="N68" i="325"/>
  <c r="H69" i="325"/>
  <c r="K69" i="325"/>
  <c r="K79" i="325"/>
  <c r="J79" i="325"/>
  <c r="N80" i="325"/>
  <c r="N93" i="325" s="1"/>
  <c r="E80" i="325"/>
  <c r="E93" i="325" s="1"/>
  <c r="L80" i="325"/>
  <c r="L93" i="325" s="1"/>
  <c r="I12" i="326"/>
  <c r="M80" i="325"/>
  <c r="M93" i="325" s="1"/>
  <c r="P31" i="326"/>
  <c r="N58" i="325"/>
  <c r="I58" i="325"/>
  <c r="H58" i="325"/>
  <c r="H80" i="325"/>
  <c r="C80" i="325"/>
  <c r="C93" i="325" s="1"/>
  <c r="J80" i="325"/>
  <c r="I80" i="325"/>
  <c r="G80" i="325"/>
  <c r="J58" i="325"/>
  <c r="E58" i="325"/>
  <c r="D80" i="325"/>
  <c r="K80" i="325"/>
  <c r="G70" i="325"/>
  <c r="K70" i="325"/>
  <c r="K96" i="325" s="1"/>
  <c r="D71" i="325"/>
  <c r="H71" i="325"/>
  <c r="L71" i="325"/>
  <c r="C70" i="325"/>
  <c r="C96" i="325" s="1"/>
  <c r="F70" i="325"/>
  <c r="G71" i="325"/>
  <c r="D70" i="325"/>
  <c r="H70" i="325"/>
  <c r="H96" i="325" s="1"/>
  <c r="L70" i="325"/>
  <c r="L96" i="325" s="1"/>
  <c r="E71" i="325"/>
  <c r="I71" i="325"/>
  <c r="M71" i="325"/>
  <c r="N70" i="325"/>
  <c r="E70" i="325"/>
  <c r="I70" i="325"/>
  <c r="M70" i="325"/>
  <c r="F71" i="325"/>
  <c r="J71" i="325"/>
  <c r="N71" i="325"/>
  <c r="J70" i="325"/>
  <c r="K71" i="325"/>
  <c r="C71" i="325"/>
  <c r="G66" i="325"/>
  <c r="K66" i="325"/>
  <c r="C66" i="325"/>
  <c r="F66" i="325"/>
  <c r="D66" i="325"/>
  <c r="H66" i="325"/>
  <c r="L66" i="325"/>
  <c r="J66" i="325"/>
  <c r="E66" i="325"/>
  <c r="I66" i="325"/>
  <c r="M66" i="325"/>
  <c r="N66" i="325"/>
  <c r="D93" i="325"/>
  <c r="P25" i="326"/>
  <c r="O39" i="325"/>
  <c r="K93" i="325"/>
  <c r="F91" i="325"/>
  <c r="C91" i="325"/>
  <c r="E91" i="325"/>
  <c r="M91" i="325"/>
  <c r="H91" i="325"/>
  <c r="P13" i="326"/>
  <c r="O54" i="325"/>
  <c r="P19" i="326"/>
  <c r="G12" i="326"/>
  <c r="G93" i="325"/>
  <c r="F93" i="325"/>
  <c r="O53" i="325"/>
  <c r="O100" i="325"/>
  <c r="H12" i="326"/>
  <c r="O36" i="325"/>
  <c r="O49" i="325"/>
  <c r="C92" i="325" l="1"/>
  <c r="D92" i="325"/>
  <c r="M96" i="325"/>
  <c r="O45" i="325"/>
  <c r="F92" i="325"/>
  <c r="L92" i="325"/>
  <c r="N96" i="325"/>
  <c r="J96" i="325"/>
  <c r="I96" i="325"/>
  <c r="N63" i="325"/>
  <c r="N92" i="325"/>
  <c r="E92" i="325"/>
  <c r="G92" i="325"/>
  <c r="M92" i="325"/>
  <c r="H92" i="325"/>
  <c r="D91" i="325"/>
  <c r="G91" i="325"/>
  <c r="N91" i="325"/>
  <c r="I91" i="325"/>
  <c r="O16" i="325"/>
  <c r="O19" i="325"/>
  <c r="O46" i="325"/>
  <c r="O42" i="325"/>
  <c r="O43" i="325"/>
  <c r="O40" i="325"/>
  <c r="O41" i="325"/>
  <c r="O44" i="325"/>
  <c r="O47" i="325"/>
  <c r="O17" i="325"/>
  <c r="O20" i="325"/>
  <c r="O21" i="325"/>
  <c r="O18" i="325"/>
  <c r="O32" i="325"/>
  <c r="O52" i="325"/>
  <c r="O13" i="325"/>
  <c r="O14" i="325"/>
  <c r="O101" i="325"/>
  <c r="O50" i="325" l="1"/>
  <c r="M63" i="325"/>
  <c r="O15" i="325"/>
  <c r="O33" i="325"/>
  <c r="O30" i="325"/>
  <c r="O28" i="325"/>
  <c r="O27" i="325"/>
  <c r="O29" i="325"/>
  <c r="O34" i="325"/>
  <c r="O26" i="325"/>
  <c r="O31" i="325"/>
  <c r="O62" i="325"/>
  <c r="O24" i="325"/>
  <c r="O37" i="325" l="1"/>
  <c r="K63" i="325"/>
  <c r="L63" i="325"/>
  <c r="J63" i="325"/>
  <c r="O75" i="325" l="1"/>
  <c r="O88" i="325" l="1"/>
  <c r="D7" i="292" l="1"/>
  <c r="G18" i="324" l="1"/>
  <c r="F18" i="324"/>
  <c r="F17" i="324" s="1"/>
  <c r="F25" i="324" s="1"/>
  <c r="E18" i="324"/>
  <c r="E17" i="324" s="1"/>
  <c r="E25" i="324" s="1"/>
  <c r="D18" i="324"/>
  <c r="C18" i="324"/>
  <c r="G17" i="324"/>
  <c r="G25" i="324" s="1"/>
  <c r="D17" i="324"/>
  <c r="D25" i="324" s="1"/>
  <c r="C17" i="324"/>
  <c r="C25" i="324" s="1"/>
  <c r="D14" i="324"/>
  <c r="C14" i="324"/>
  <c r="G13" i="324"/>
  <c r="F13" i="324"/>
  <c r="E13" i="324"/>
  <c r="E5" i="324"/>
  <c r="D5" i="324"/>
  <c r="G4" i="324"/>
  <c r="M96" i="322"/>
  <c r="AE95" i="322"/>
  <c r="AG95" i="322" s="1"/>
  <c r="AD95" i="322"/>
  <c r="AF95" i="322" s="1"/>
  <c r="AL95" i="322" s="1"/>
  <c r="W95" i="322"/>
  <c r="V95" i="322"/>
  <c r="R95" i="322"/>
  <c r="Q95" i="322"/>
  <c r="O95" i="322"/>
  <c r="N95" i="322"/>
  <c r="M95" i="322"/>
  <c r="AL94" i="322"/>
  <c r="AE94" i="322"/>
  <c r="AG94" i="322" s="1"/>
  <c r="AM94" i="322" s="1"/>
  <c r="AD94" i="322"/>
  <c r="AF94" i="322" s="1"/>
  <c r="AH94" i="322" s="1"/>
  <c r="AJ94" i="322" s="1"/>
  <c r="W94" i="322"/>
  <c r="V94" i="322"/>
  <c r="R94" i="322"/>
  <c r="Q94" i="322"/>
  <c r="O94" i="322"/>
  <c r="N94" i="322"/>
  <c r="M94" i="322"/>
  <c r="AE93" i="322"/>
  <c r="AG93" i="322" s="1"/>
  <c r="AI93" i="322" s="1"/>
  <c r="AK93" i="322" s="1"/>
  <c r="AD93" i="322"/>
  <c r="AF93" i="322" s="1"/>
  <c r="W93" i="322"/>
  <c r="V93" i="322"/>
  <c r="R93" i="322"/>
  <c r="Q93" i="322"/>
  <c r="O93" i="322"/>
  <c r="N93" i="322"/>
  <c r="M93" i="322"/>
  <c r="AE92" i="322"/>
  <c r="AG92" i="322" s="1"/>
  <c r="AD92" i="322"/>
  <c r="AF92" i="322" s="1"/>
  <c r="W92" i="322"/>
  <c r="V92" i="322"/>
  <c r="R92" i="322"/>
  <c r="Q92" i="322"/>
  <c r="O92" i="322"/>
  <c r="N92" i="322"/>
  <c r="M92" i="322"/>
  <c r="AE91" i="322"/>
  <c r="AG91" i="322" s="1"/>
  <c r="AD91" i="322"/>
  <c r="AF91" i="322" s="1"/>
  <c r="W91" i="322"/>
  <c r="V91" i="322"/>
  <c r="R91" i="322"/>
  <c r="Q91" i="322"/>
  <c r="O91" i="322"/>
  <c r="N91" i="322"/>
  <c r="M91" i="322"/>
  <c r="AE90" i="322"/>
  <c r="AG90" i="322" s="1"/>
  <c r="AD90" i="322"/>
  <c r="AF90" i="322" s="1"/>
  <c r="W90" i="322"/>
  <c r="V90" i="322"/>
  <c r="R90" i="322"/>
  <c r="Q90" i="322"/>
  <c r="O90" i="322"/>
  <c r="N90" i="322"/>
  <c r="M90" i="322"/>
  <c r="AE89" i="322"/>
  <c r="AG89" i="322" s="1"/>
  <c r="AI89" i="322" s="1"/>
  <c r="AK89" i="322" s="1"/>
  <c r="AD89" i="322"/>
  <c r="AF89" i="322" s="1"/>
  <c r="W89" i="322"/>
  <c r="V89" i="322"/>
  <c r="R89" i="322"/>
  <c r="Q89" i="322"/>
  <c r="O89" i="322"/>
  <c r="N89" i="322"/>
  <c r="M89" i="322"/>
  <c r="AE88" i="322"/>
  <c r="AG88" i="322" s="1"/>
  <c r="AD88" i="322"/>
  <c r="AF88" i="322" s="1"/>
  <c r="W88" i="322"/>
  <c r="V88" i="322"/>
  <c r="R88" i="322"/>
  <c r="Q88" i="322"/>
  <c r="O88" i="322"/>
  <c r="N88" i="322"/>
  <c r="M88" i="322"/>
  <c r="AG87" i="322"/>
  <c r="AE87" i="322"/>
  <c r="AD87" i="322"/>
  <c r="AF87" i="322" s="1"/>
  <c r="W87" i="322"/>
  <c r="V87" i="322"/>
  <c r="R87" i="322"/>
  <c r="Q87" i="322"/>
  <c r="O87" i="322"/>
  <c r="N87" i="322"/>
  <c r="M87" i="322"/>
  <c r="AD86" i="322"/>
  <c r="AC86" i="322"/>
  <c r="AE86" i="322" s="1"/>
  <c r="W86" i="322"/>
  <c r="V86" i="322"/>
  <c r="R86" i="322"/>
  <c r="Q86" i="322"/>
  <c r="O86" i="322"/>
  <c r="N86" i="322"/>
  <c r="M86" i="322"/>
  <c r="AC85" i="322"/>
  <c r="AB85" i="322"/>
  <c r="AA85" i="322"/>
  <c r="Z85" i="322"/>
  <c r="Y85" i="322"/>
  <c r="X85" i="322"/>
  <c r="N85" i="322"/>
  <c r="M85" i="322"/>
  <c r="K85" i="322"/>
  <c r="J85" i="322"/>
  <c r="I85" i="322"/>
  <c r="H85" i="322"/>
  <c r="G85" i="322"/>
  <c r="F85" i="322"/>
  <c r="E85" i="322"/>
  <c r="W85" i="322" s="1"/>
  <c r="D85" i="322"/>
  <c r="C85" i="322"/>
  <c r="AE84" i="322"/>
  <c r="AG84" i="322" s="1"/>
  <c r="AD84" i="322"/>
  <c r="AF84" i="322" s="1"/>
  <c r="AL84" i="322" s="1"/>
  <c r="W84" i="322"/>
  <c r="V84" i="322"/>
  <c r="R84" i="322"/>
  <c r="Q84" i="322"/>
  <c r="O84" i="322"/>
  <c r="N84" i="322"/>
  <c r="M84" i="322"/>
  <c r="AE83" i="322"/>
  <c r="AG83" i="322" s="1"/>
  <c r="AD83" i="322"/>
  <c r="AF83" i="322" s="1"/>
  <c r="W83" i="322"/>
  <c r="V83" i="322"/>
  <c r="R83" i="322"/>
  <c r="Q83" i="322"/>
  <c r="O83" i="322"/>
  <c r="N83" i="322"/>
  <c r="M83" i="322"/>
  <c r="AE82" i="322"/>
  <c r="AG82" i="322" s="1"/>
  <c r="AD82" i="322"/>
  <c r="AF82" i="322" s="1"/>
  <c r="N82" i="322"/>
  <c r="M82" i="322"/>
  <c r="K82" i="322"/>
  <c r="J82" i="322"/>
  <c r="I82" i="322"/>
  <c r="H82" i="322"/>
  <c r="R82" i="322" s="1"/>
  <c r="G82" i="322"/>
  <c r="F82" i="322"/>
  <c r="E82" i="322"/>
  <c r="D82" i="322"/>
  <c r="C82" i="322"/>
  <c r="AE81" i="322"/>
  <c r="AG81" i="322" s="1"/>
  <c r="AI81" i="322" s="1"/>
  <c r="AD81" i="322"/>
  <c r="AF81" i="322" s="1"/>
  <c r="W81" i="322"/>
  <c r="V81" i="322"/>
  <c r="R81" i="322"/>
  <c r="Q81" i="322"/>
  <c r="O81" i="322"/>
  <c r="N81" i="322"/>
  <c r="M81" i="322"/>
  <c r="AE80" i="322"/>
  <c r="AG80" i="322" s="1"/>
  <c r="AD80" i="322"/>
  <c r="AF80" i="322" s="1"/>
  <c r="AH80" i="322" s="1"/>
  <c r="W80" i="322"/>
  <c r="V80" i="322"/>
  <c r="R80" i="322"/>
  <c r="Q80" i="322"/>
  <c r="O80" i="322"/>
  <c r="N80" i="322"/>
  <c r="M80" i="322"/>
  <c r="AE79" i="322"/>
  <c r="AG79" i="322" s="1"/>
  <c r="AD79" i="322"/>
  <c r="AF79" i="322" s="1"/>
  <c r="AL79" i="322" s="1"/>
  <c r="W79" i="322"/>
  <c r="V79" i="322"/>
  <c r="R79" i="322"/>
  <c r="Q79" i="322"/>
  <c r="O79" i="322"/>
  <c r="N79" i="322"/>
  <c r="M79" i="322"/>
  <c r="AG78" i="322"/>
  <c r="AE78" i="322"/>
  <c r="AD78" i="322"/>
  <c r="AF78" i="322" s="1"/>
  <c r="W78" i="322"/>
  <c r="V78" i="322"/>
  <c r="R78" i="322"/>
  <c r="Q78" i="322"/>
  <c r="O78" i="322"/>
  <c r="N78" i="322"/>
  <c r="M78" i="322"/>
  <c r="AE77" i="322"/>
  <c r="AG77" i="322" s="1"/>
  <c r="AI77" i="322" s="1"/>
  <c r="AD77" i="322"/>
  <c r="AF77" i="322" s="1"/>
  <c r="W77" i="322"/>
  <c r="V77" i="322"/>
  <c r="R77" i="322"/>
  <c r="Q77" i="322"/>
  <c r="O77" i="322"/>
  <c r="N77" i="322"/>
  <c r="M77" i="322"/>
  <c r="AE76" i="322"/>
  <c r="AG76" i="322" s="1"/>
  <c r="AD76" i="322"/>
  <c r="AF76" i="322" s="1"/>
  <c r="AH76" i="322" s="1"/>
  <c r="W76" i="322"/>
  <c r="V76" i="322"/>
  <c r="R76" i="322"/>
  <c r="Q76" i="322"/>
  <c r="O76" i="322"/>
  <c r="N76" i="322"/>
  <c r="M76" i="322"/>
  <c r="Y75" i="322"/>
  <c r="AE75" i="322" s="1"/>
  <c r="AG75" i="322" s="1"/>
  <c r="X75" i="322"/>
  <c r="AD75" i="322" s="1"/>
  <c r="AF75" i="322" s="1"/>
  <c r="N75" i="322"/>
  <c r="M75" i="322"/>
  <c r="K75" i="322"/>
  <c r="J75" i="322"/>
  <c r="I75" i="322"/>
  <c r="O75" i="322" s="1"/>
  <c r="H75" i="322"/>
  <c r="G75" i="322"/>
  <c r="F75" i="322"/>
  <c r="E75" i="322"/>
  <c r="D75" i="322"/>
  <c r="C75" i="322"/>
  <c r="AE74" i="322"/>
  <c r="AG74" i="322" s="1"/>
  <c r="AI74" i="322" s="1"/>
  <c r="AD74" i="322"/>
  <c r="AF74" i="322" s="1"/>
  <c r="W74" i="322"/>
  <c r="V74" i="322"/>
  <c r="R74" i="322"/>
  <c r="Q74" i="322"/>
  <c r="O74" i="322"/>
  <c r="N74" i="322"/>
  <c r="M74" i="322"/>
  <c r="AE73" i="322"/>
  <c r="AG73" i="322" s="1"/>
  <c r="AD73" i="322"/>
  <c r="AF73" i="322" s="1"/>
  <c r="AH73" i="322" s="1"/>
  <c r="W73" i="322"/>
  <c r="V73" i="322"/>
  <c r="R73" i="322"/>
  <c r="Q73" i="322"/>
  <c r="O73" i="322"/>
  <c r="N73" i="322"/>
  <c r="M73" i="322"/>
  <c r="AE72" i="322"/>
  <c r="AG72" i="322" s="1"/>
  <c r="AD72" i="322"/>
  <c r="AF72" i="322" s="1"/>
  <c r="AL72" i="322" s="1"/>
  <c r="W72" i="322"/>
  <c r="V72" i="322"/>
  <c r="R72" i="322"/>
  <c r="Q72" i="322"/>
  <c r="O72" i="322"/>
  <c r="N72" i="322"/>
  <c r="M72" i="322"/>
  <c r="AE71" i="322"/>
  <c r="AG71" i="322" s="1"/>
  <c r="AD71" i="322"/>
  <c r="AF71" i="322" s="1"/>
  <c r="W71" i="322"/>
  <c r="V71" i="322"/>
  <c r="R71" i="322"/>
  <c r="Q71" i="322"/>
  <c r="O71" i="322"/>
  <c r="N71" i="322"/>
  <c r="M71" i="322"/>
  <c r="AE70" i="322"/>
  <c r="AG70" i="322" s="1"/>
  <c r="AI70" i="322" s="1"/>
  <c r="AD70" i="322"/>
  <c r="AF70" i="322" s="1"/>
  <c r="W70" i="322"/>
  <c r="V70" i="322"/>
  <c r="R70" i="322"/>
  <c r="Q70" i="322"/>
  <c r="O70" i="322"/>
  <c r="N70" i="322"/>
  <c r="M70" i="322"/>
  <c r="Y69" i="322"/>
  <c r="AE69" i="322" s="1"/>
  <c r="AG69" i="322" s="1"/>
  <c r="X69" i="322"/>
  <c r="AD69" i="322" s="1"/>
  <c r="AF69" i="322" s="1"/>
  <c r="N69" i="322"/>
  <c r="M69" i="322"/>
  <c r="K69" i="322"/>
  <c r="J69" i="322"/>
  <c r="I69" i="322"/>
  <c r="H69" i="322"/>
  <c r="G69" i="322"/>
  <c r="F69" i="322"/>
  <c r="E69" i="322"/>
  <c r="AH69" i="322" s="1"/>
  <c r="D69" i="322"/>
  <c r="C69" i="322"/>
  <c r="AE68" i="322"/>
  <c r="AG68" i="322" s="1"/>
  <c r="AD68" i="322"/>
  <c r="AF68" i="322" s="1"/>
  <c r="W68" i="322"/>
  <c r="V68" i="322"/>
  <c r="R68" i="322"/>
  <c r="Q68" i="322"/>
  <c r="O68" i="322"/>
  <c r="N68" i="322"/>
  <c r="M68" i="322"/>
  <c r="AE67" i="322"/>
  <c r="AG67" i="322" s="1"/>
  <c r="AD67" i="322"/>
  <c r="AF67" i="322" s="1"/>
  <c r="AH67" i="322" s="1"/>
  <c r="W67" i="322"/>
  <c r="V67" i="322"/>
  <c r="R67" i="322"/>
  <c r="Q67" i="322"/>
  <c r="O67" i="322"/>
  <c r="N67" i="322"/>
  <c r="M67" i="322"/>
  <c r="AE66" i="322"/>
  <c r="AG66" i="322" s="1"/>
  <c r="AM66" i="322" s="1"/>
  <c r="AD66" i="322"/>
  <c r="AF66" i="322" s="1"/>
  <c r="W66" i="322"/>
  <c r="V66" i="322"/>
  <c r="R66" i="322"/>
  <c r="Q66" i="322"/>
  <c r="O66" i="322"/>
  <c r="N66" i="322"/>
  <c r="M66" i="322"/>
  <c r="AE65" i="322"/>
  <c r="AG65" i="322" s="1"/>
  <c r="AD65" i="322"/>
  <c r="AF65" i="322" s="1"/>
  <c r="AL65" i="322" s="1"/>
  <c r="W65" i="322"/>
  <c r="V65" i="322"/>
  <c r="R65" i="322"/>
  <c r="Q65" i="322"/>
  <c r="O65" i="322"/>
  <c r="N65" i="322"/>
  <c r="M65" i="322"/>
  <c r="AG64" i="322"/>
  <c r="AI64" i="322" s="1"/>
  <c r="AE64" i="322"/>
  <c r="AD64" i="322"/>
  <c r="AF64" i="322" s="1"/>
  <c r="W64" i="322"/>
  <c r="V64" i="322"/>
  <c r="R64" i="322"/>
  <c r="Q64" i="322"/>
  <c r="O64" i="322"/>
  <c r="N64" i="322"/>
  <c r="M64" i="322"/>
  <c r="AE63" i="322"/>
  <c r="AG63" i="322" s="1"/>
  <c r="AD63" i="322"/>
  <c r="AF63" i="322" s="1"/>
  <c r="W63" i="322"/>
  <c r="V63" i="322"/>
  <c r="R63" i="322"/>
  <c r="Q63" i="322"/>
  <c r="O63" i="322"/>
  <c r="N63" i="322"/>
  <c r="M63" i="322"/>
  <c r="AE62" i="322"/>
  <c r="AD62" i="322"/>
  <c r="AF62" i="322" s="1"/>
  <c r="W62" i="322"/>
  <c r="V62" i="322"/>
  <c r="R62" i="322"/>
  <c r="Q62" i="322"/>
  <c r="O62" i="322"/>
  <c r="N62" i="322"/>
  <c r="M62" i="322"/>
  <c r="AE61" i="322"/>
  <c r="AG61" i="322" s="1"/>
  <c r="AD61" i="322"/>
  <c r="AF61" i="322" s="1"/>
  <c r="AH61" i="322" s="1"/>
  <c r="W61" i="322"/>
  <c r="V61" i="322"/>
  <c r="R61" i="322"/>
  <c r="Q61" i="322"/>
  <c r="O61" i="322"/>
  <c r="N61" i="322"/>
  <c r="M61" i="322"/>
  <c r="AJ60" i="322"/>
  <c r="AC60" i="322"/>
  <c r="AB60" i="322"/>
  <c r="AA60" i="322"/>
  <c r="Z60" i="322"/>
  <c r="Y60" i="322"/>
  <c r="X60" i="322"/>
  <c r="N60" i="322"/>
  <c r="M60" i="322"/>
  <c r="K60" i="322"/>
  <c r="J60" i="322"/>
  <c r="I60" i="322"/>
  <c r="H60" i="322"/>
  <c r="G60" i="322"/>
  <c r="F60" i="322"/>
  <c r="E60" i="322"/>
  <c r="D60" i="322"/>
  <c r="C60" i="322"/>
  <c r="AE59" i="322"/>
  <c r="AG59" i="322" s="1"/>
  <c r="AD59" i="322"/>
  <c r="AF59" i="322" s="1"/>
  <c r="W59" i="322"/>
  <c r="V59" i="322"/>
  <c r="R59" i="322"/>
  <c r="Q59" i="322"/>
  <c r="O59" i="322"/>
  <c r="N59" i="322"/>
  <c r="M59" i="322"/>
  <c r="AE58" i="322"/>
  <c r="AB58" i="322"/>
  <c r="AD58" i="322" s="1"/>
  <c r="W58" i="322"/>
  <c r="V58" i="322"/>
  <c r="R58" i="322"/>
  <c r="Q58" i="322"/>
  <c r="O58" i="322"/>
  <c r="N58" i="322"/>
  <c r="M58" i="322"/>
  <c r="AJ57" i="322"/>
  <c r="AC57" i="322"/>
  <c r="AB57" i="322"/>
  <c r="AA57" i="322"/>
  <c r="Z57" i="322"/>
  <c r="Y57" i="322"/>
  <c r="X57" i="322"/>
  <c r="N57" i="322"/>
  <c r="M57" i="322"/>
  <c r="K57" i="322"/>
  <c r="J57" i="322"/>
  <c r="I57" i="322"/>
  <c r="H57" i="322"/>
  <c r="O57" i="322" s="1"/>
  <c r="G57" i="322"/>
  <c r="F57" i="322"/>
  <c r="E57" i="322"/>
  <c r="D57" i="322"/>
  <c r="C57" i="322"/>
  <c r="AE56" i="322"/>
  <c r="AG56" i="322" s="1"/>
  <c r="AD56" i="322"/>
  <c r="AF56" i="322" s="1"/>
  <c r="W56" i="322"/>
  <c r="V56" i="322"/>
  <c r="R56" i="322"/>
  <c r="Q56" i="322"/>
  <c r="O56" i="322"/>
  <c r="N56" i="322"/>
  <c r="M56" i="322"/>
  <c r="AE55" i="322"/>
  <c r="AG55" i="322" s="1"/>
  <c r="AI55" i="322" s="1"/>
  <c r="AD55" i="322"/>
  <c r="AF55" i="322" s="1"/>
  <c r="W55" i="322"/>
  <c r="V55" i="322"/>
  <c r="R55" i="322"/>
  <c r="Q55" i="322"/>
  <c r="O55" i="322"/>
  <c r="N55" i="322"/>
  <c r="M55" i="322"/>
  <c r="AG54" i="322"/>
  <c r="AE54" i="322"/>
  <c r="AD54" i="322"/>
  <c r="W54" i="322"/>
  <c r="V54" i="322"/>
  <c r="R54" i="322"/>
  <c r="Q54" i="322"/>
  <c r="O54" i="322"/>
  <c r="N54" i="322"/>
  <c r="M54" i="322"/>
  <c r="AE53" i="322"/>
  <c r="AG53" i="322" s="1"/>
  <c r="AD53" i="322"/>
  <c r="AF53" i="322" s="1"/>
  <c r="AH53" i="322" s="1"/>
  <c r="W53" i="322"/>
  <c r="V53" i="322"/>
  <c r="R53" i="322"/>
  <c r="Q53" i="322"/>
  <c r="O53" i="322"/>
  <c r="N53" i="322"/>
  <c r="M53" i="322"/>
  <c r="AJ52" i="322"/>
  <c r="AE52" i="322"/>
  <c r="AC52" i="322"/>
  <c r="AB52" i="322"/>
  <c r="AA52" i="322"/>
  <c r="Z52" i="322"/>
  <c r="Y52" i="322"/>
  <c r="X52" i="322"/>
  <c r="N52" i="322"/>
  <c r="M52" i="322"/>
  <c r="K52" i="322"/>
  <c r="J52" i="322"/>
  <c r="I52" i="322"/>
  <c r="H52" i="322"/>
  <c r="R52" i="322" s="1"/>
  <c r="G52" i="322"/>
  <c r="F52" i="322"/>
  <c r="E52" i="322"/>
  <c r="W52" i="322" s="1"/>
  <c r="D52" i="322"/>
  <c r="C52" i="322"/>
  <c r="AD51" i="322"/>
  <c r="AF51" i="322" s="1"/>
  <c r="AL51" i="322" s="1"/>
  <c r="AA51" i="322"/>
  <c r="AE51" i="322" s="1"/>
  <c r="AG51" i="322" s="1"/>
  <c r="AM51" i="322" s="1"/>
  <c r="W51" i="322"/>
  <c r="V51" i="322"/>
  <c r="R51" i="322"/>
  <c r="Q51" i="322"/>
  <c r="O51" i="322"/>
  <c r="N51" i="322"/>
  <c r="M51" i="322"/>
  <c r="AE50" i="322"/>
  <c r="AG50" i="322" s="1"/>
  <c r="AM50" i="322" s="1"/>
  <c r="AD50" i="322"/>
  <c r="AF50" i="322" s="1"/>
  <c r="AL50" i="322" s="1"/>
  <c r="W50" i="322"/>
  <c r="V50" i="322"/>
  <c r="R50" i="322"/>
  <c r="Q50" i="322"/>
  <c r="O50" i="322"/>
  <c r="N50" i="322"/>
  <c r="M50" i="322"/>
  <c r="AE49" i="322"/>
  <c r="AG49" i="322" s="1"/>
  <c r="AD49" i="322"/>
  <c r="AF49" i="322" s="1"/>
  <c r="AL49" i="322" s="1"/>
  <c r="W49" i="322"/>
  <c r="V49" i="322"/>
  <c r="R49" i="322"/>
  <c r="Q49" i="322"/>
  <c r="O49" i="322"/>
  <c r="N49" i="322"/>
  <c r="M49" i="322"/>
  <c r="AE48" i="322"/>
  <c r="AG48" i="322" s="1"/>
  <c r="AD48" i="322"/>
  <c r="AF48" i="322" s="1"/>
  <c r="AH48" i="322" s="1"/>
  <c r="W48" i="322"/>
  <c r="V48" i="322"/>
  <c r="R48" i="322"/>
  <c r="Q48" i="322"/>
  <c r="O48" i="322"/>
  <c r="N48" i="322"/>
  <c r="M48" i="322"/>
  <c r="AE47" i="322"/>
  <c r="AG47" i="322" s="1"/>
  <c r="AM47" i="322" s="1"/>
  <c r="AD47" i="322"/>
  <c r="AF47" i="322" s="1"/>
  <c r="AH47" i="322" s="1"/>
  <c r="W47" i="322"/>
  <c r="V47" i="322"/>
  <c r="R47" i="322"/>
  <c r="Q47" i="322"/>
  <c r="O47" i="322"/>
  <c r="N47" i="322"/>
  <c r="M47" i="322"/>
  <c r="AE46" i="322"/>
  <c r="AG46" i="322" s="1"/>
  <c r="AM46" i="322" s="1"/>
  <c r="AD46" i="322"/>
  <c r="AF46" i="322" s="1"/>
  <c r="AL46" i="322" s="1"/>
  <c r="W46" i="322"/>
  <c r="V46" i="322"/>
  <c r="R46" i="322"/>
  <c r="Q46" i="322"/>
  <c r="O46" i="322"/>
  <c r="N46" i="322"/>
  <c r="M46" i="322"/>
  <c r="AG45" i="322"/>
  <c r="AI45" i="322" s="1"/>
  <c r="AE45" i="322"/>
  <c r="AD45" i="322"/>
  <c r="AF45" i="322" s="1"/>
  <c r="AL45" i="322" s="1"/>
  <c r="W45" i="322"/>
  <c r="V45" i="322"/>
  <c r="R45" i="322"/>
  <c r="Q45" i="322"/>
  <c r="O45" i="322"/>
  <c r="N45" i="322"/>
  <c r="M45" i="322"/>
  <c r="AE44" i="322"/>
  <c r="AG44" i="322" s="1"/>
  <c r="AD44" i="322"/>
  <c r="AF44" i="322" s="1"/>
  <c r="AH44" i="322" s="1"/>
  <c r="W44" i="322"/>
  <c r="V44" i="322"/>
  <c r="R44" i="322"/>
  <c r="Q44" i="322"/>
  <c r="O44" i="322"/>
  <c r="N44" i="322"/>
  <c r="M44" i="322"/>
  <c r="AE43" i="322"/>
  <c r="AG43" i="322" s="1"/>
  <c r="AM43" i="322" s="1"/>
  <c r="AD43" i="322"/>
  <c r="AF43" i="322" s="1"/>
  <c r="AH43" i="322" s="1"/>
  <c r="W43" i="322"/>
  <c r="V43" i="322"/>
  <c r="R43" i="322"/>
  <c r="Q43" i="322"/>
  <c r="O43" i="322"/>
  <c r="N43" i="322"/>
  <c r="M43" i="322"/>
  <c r="AE42" i="322"/>
  <c r="AG42" i="322" s="1"/>
  <c r="AM42" i="322" s="1"/>
  <c r="AD42" i="322"/>
  <c r="AF42" i="322" s="1"/>
  <c r="AL42" i="322" s="1"/>
  <c r="W42" i="322"/>
  <c r="V42" i="322"/>
  <c r="R42" i="322"/>
  <c r="Q42" i="322"/>
  <c r="O42" i="322"/>
  <c r="N42" i="322"/>
  <c r="M42" i="322"/>
  <c r="AG41" i="322"/>
  <c r="AI41" i="322" s="1"/>
  <c r="AE41" i="322"/>
  <c r="AD41" i="322"/>
  <c r="AF41" i="322" s="1"/>
  <c r="AL41" i="322" s="1"/>
  <c r="W41" i="322"/>
  <c r="V41" i="322"/>
  <c r="R41" i="322"/>
  <c r="Q41" i="322"/>
  <c r="O41" i="322"/>
  <c r="N41" i="322"/>
  <c r="M41" i="322"/>
  <c r="AE40" i="322"/>
  <c r="AG40" i="322" s="1"/>
  <c r="AD40" i="322"/>
  <c r="AF40" i="322" s="1"/>
  <c r="AH40" i="322" s="1"/>
  <c r="W40" i="322"/>
  <c r="V40" i="322"/>
  <c r="R40" i="322"/>
  <c r="Q40" i="322"/>
  <c r="O40" i="322"/>
  <c r="N40" i="322"/>
  <c r="M40" i="322"/>
  <c r="AD39" i="322"/>
  <c r="AF39" i="322" s="1"/>
  <c r="AH39" i="322" s="1"/>
  <c r="AC39" i="322"/>
  <c r="AE39" i="322" s="1"/>
  <c r="W39" i="322"/>
  <c r="V39" i="322"/>
  <c r="R39" i="322"/>
  <c r="Q39" i="322"/>
  <c r="O39" i="322"/>
  <c r="N39" i="322"/>
  <c r="M39" i="322"/>
  <c r="AE38" i="322"/>
  <c r="AG38" i="322" s="1"/>
  <c r="AD38" i="322"/>
  <c r="AF38" i="322" s="1"/>
  <c r="AL38" i="322" s="1"/>
  <c r="W38" i="322"/>
  <c r="V38" i="322"/>
  <c r="R38" i="322"/>
  <c r="Q38" i="322"/>
  <c r="O38" i="322"/>
  <c r="N38" i="322"/>
  <c r="M38" i="322"/>
  <c r="AJ37" i="322"/>
  <c r="AD37" i="322"/>
  <c r="AC37" i="322"/>
  <c r="AB37" i="322"/>
  <c r="AA37" i="322"/>
  <c r="Z37" i="322"/>
  <c r="Y37" i="322"/>
  <c r="X37" i="322"/>
  <c r="N37" i="322"/>
  <c r="M37" i="322"/>
  <c r="K37" i="322"/>
  <c r="J37" i="322"/>
  <c r="I37" i="322"/>
  <c r="H37" i="322"/>
  <c r="G37" i="322"/>
  <c r="F37" i="322"/>
  <c r="E37" i="322"/>
  <c r="W37" i="322" s="1"/>
  <c r="D37" i="322"/>
  <c r="C37" i="322"/>
  <c r="AE36" i="322"/>
  <c r="AG36" i="322" s="1"/>
  <c r="AM36" i="322" s="1"/>
  <c r="AD36" i="322"/>
  <c r="AF36" i="322" s="1"/>
  <c r="W36" i="322"/>
  <c r="V36" i="322"/>
  <c r="R36" i="322"/>
  <c r="Q36" i="322"/>
  <c r="O36" i="322"/>
  <c r="N36" i="322"/>
  <c r="M36" i="322"/>
  <c r="AI35" i="322"/>
  <c r="AE35" i="322"/>
  <c r="AG35" i="322" s="1"/>
  <c r="AM35" i="322" s="1"/>
  <c r="AD35" i="322"/>
  <c r="AF35" i="322" s="1"/>
  <c r="AL35" i="322" s="1"/>
  <c r="W35" i="322"/>
  <c r="V35" i="322"/>
  <c r="R35" i="322"/>
  <c r="Q35" i="322"/>
  <c r="O35" i="322"/>
  <c r="N35" i="322"/>
  <c r="M35" i="322"/>
  <c r="AK34" i="322"/>
  <c r="AD34" i="322"/>
  <c r="AF34" i="322" s="1"/>
  <c r="AL34" i="322" s="1"/>
  <c r="AA34" i="322"/>
  <c r="Y34" i="322"/>
  <c r="AE34" i="322" s="1"/>
  <c r="AG34" i="322" s="1"/>
  <c r="AI34" i="322" s="1"/>
  <c r="W34" i="322"/>
  <c r="V34" i="322"/>
  <c r="R34" i="322"/>
  <c r="Q34" i="322"/>
  <c r="O34" i="322"/>
  <c r="N34" i="322"/>
  <c r="M34" i="322"/>
  <c r="AE33" i="322"/>
  <c r="AG33" i="322" s="1"/>
  <c r="AM33" i="322" s="1"/>
  <c r="AD33" i="322"/>
  <c r="AF33" i="322" s="1"/>
  <c r="AH33" i="322" s="1"/>
  <c r="W33" i="322"/>
  <c r="V33" i="322"/>
  <c r="R33" i="322"/>
  <c r="Q33" i="322"/>
  <c r="O33" i="322"/>
  <c r="N33" i="322"/>
  <c r="M33" i="322"/>
  <c r="AE32" i="322"/>
  <c r="AG32" i="322" s="1"/>
  <c r="AM32" i="322" s="1"/>
  <c r="AD32" i="322"/>
  <c r="AF32" i="322" s="1"/>
  <c r="AL32" i="322" s="1"/>
  <c r="W32" i="322"/>
  <c r="V32" i="322"/>
  <c r="R32" i="322"/>
  <c r="Q32" i="322"/>
  <c r="O32" i="322"/>
  <c r="N32" i="322"/>
  <c r="M32" i="322"/>
  <c r="AD31" i="322"/>
  <c r="AF31" i="322" s="1"/>
  <c r="AL31" i="322" s="1"/>
  <c r="AC31" i="322"/>
  <c r="W31" i="322"/>
  <c r="V31" i="322"/>
  <c r="R31" i="322"/>
  <c r="Q31" i="322"/>
  <c r="O31" i="322"/>
  <c r="N31" i="322"/>
  <c r="M31" i="322"/>
  <c r="AE30" i="322"/>
  <c r="AG30" i="322" s="1"/>
  <c r="AI30" i="322" s="1"/>
  <c r="AD30" i="322"/>
  <c r="AF30" i="322" s="1"/>
  <c r="AL30" i="322" s="1"/>
  <c r="W30" i="322"/>
  <c r="V30" i="322"/>
  <c r="R30" i="322"/>
  <c r="Q30" i="322"/>
  <c r="O30" i="322"/>
  <c r="N30" i="322"/>
  <c r="M30" i="322"/>
  <c r="AE29" i="322"/>
  <c r="AG29" i="322" s="1"/>
  <c r="AI29" i="322" s="1"/>
  <c r="AD29" i="322"/>
  <c r="AF29" i="322" s="1"/>
  <c r="AH29" i="322" s="1"/>
  <c r="W29" i="322"/>
  <c r="V29" i="322"/>
  <c r="R29" i="322"/>
  <c r="Q29" i="322"/>
  <c r="O29" i="322"/>
  <c r="N29" i="322"/>
  <c r="M29" i="322"/>
  <c r="AE28" i="322"/>
  <c r="AG28" i="322" s="1"/>
  <c r="AM28" i="322" s="1"/>
  <c r="AD28" i="322"/>
  <c r="AF28" i="322" s="1"/>
  <c r="AH28" i="322" s="1"/>
  <c r="W28" i="322"/>
  <c r="V28" i="322"/>
  <c r="R28" i="322"/>
  <c r="Q28" i="322"/>
  <c r="O28" i="322"/>
  <c r="N28" i="322"/>
  <c r="M28" i="322"/>
  <c r="AD27" i="322"/>
  <c r="AF27" i="322" s="1"/>
  <c r="AL27" i="322" s="1"/>
  <c r="AC27" i="322"/>
  <c r="AE27" i="322" s="1"/>
  <c r="AG27" i="322" s="1"/>
  <c r="AM27" i="322" s="1"/>
  <c r="W27" i="322"/>
  <c r="V27" i="322"/>
  <c r="R27" i="322"/>
  <c r="Q27" i="322"/>
  <c r="O27" i="322"/>
  <c r="N27" i="322"/>
  <c r="M27" i="322"/>
  <c r="AE26" i="322"/>
  <c r="AG26" i="322" s="1"/>
  <c r="AM26" i="322" s="1"/>
  <c r="AD26" i="322"/>
  <c r="AF26" i="322" s="1"/>
  <c r="AL26" i="322" s="1"/>
  <c r="W26" i="322"/>
  <c r="V26" i="322"/>
  <c r="R26" i="322"/>
  <c r="Q26" i="322"/>
  <c r="O26" i="322"/>
  <c r="N26" i="322"/>
  <c r="M26" i="322"/>
  <c r="AH25" i="322"/>
  <c r="AE25" i="322"/>
  <c r="AG25" i="322" s="1"/>
  <c r="AD25" i="322"/>
  <c r="AF25" i="322" s="1"/>
  <c r="W25" i="322"/>
  <c r="V25" i="322"/>
  <c r="R25" i="322"/>
  <c r="Q25" i="322"/>
  <c r="O25" i="322"/>
  <c r="N25" i="322"/>
  <c r="M25" i="322"/>
  <c r="AJ24" i="322"/>
  <c r="AB24" i="322"/>
  <c r="AA24" i="322"/>
  <c r="Z24" i="322"/>
  <c r="Y24" i="322"/>
  <c r="X24" i="322"/>
  <c r="N24" i="322"/>
  <c r="M24" i="322"/>
  <c r="K24" i="322"/>
  <c r="J24" i="322"/>
  <c r="I24" i="322"/>
  <c r="H24" i="322"/>
  <c r="G24" i="322"/>
  <c r="F24" i="322"/>
  <c r="E24" i="322"/>
  <c r="W24" i="322" s="1"/>
  <c r="D24" i="322"/>
  <c r="C24" i="322"/>
  <c r="AE23" i="322"/>
  <c r="AG23" i="322" s="1"/>
  <c r="AD23" i="322"/>
  <c r="AF23" i="322" s="1"/>
  <c r="W23" i="322"/>
  <c r="V23" i="322"/>
  <c r="R23" i="322"/>
  <c r="Q23" i="322"/>
  <c r="O23" i="322"/>
  <c r="N23" i="322"/>
  <c r="M23" i="322"/>
  <c r="AE22" i="322"/>
  <c r="AG22" i="322" s="1"/>
  <c r="AM22" i="322" s="1"/>
  <c r="AD22" i="322"/>
  <c r="AF22" i="322" s="1"/>
  <c r="W22" i="322"/>
  <c r="V22" i="322"/>
  <c r="R22" i="322"/>
  <c r="Q22" i="322"/>
  <c r="O22" i="322"/>
  <c r="N22" i="322"/>
  <c r="M22" i="322"/>
  <c r="AE21" i="322"/>
  <c r="AD21" i="322"/>
  <c r="AF21" i="322" s="1"/>
  <c r="AL21" i="322" s="1"/>
  <c r="W21" i="322"/>
  <c r="V21" i="322"/>
  <c r="R21" i="322"/>
  <c r="Q21" i="322"/>
  <c r="O21" i="322"/>
  <c r="N21" i="322"/>
  <c r="M21" i="322"/>
  <c r="AE20" i="322"/>
  <c r="AG20" i="322" s="1"/>
  <c r="AD20" i="322"/>
  <c r="W20" i="322"/>
  <c r="V20" i="322"/>
  <c r="R20" i="322"/>
  <c r="Q20" i="322"/>
  <c r="O20" i="322"/>
  <c r="N20" i="322"/>
  <c r="M20" i="322"/>
  <c r="AE19" i="322"/>
  <c r="AG19" i="322" s="1"/>
  <c r="AD19" i="322"/>
  <c r="AF19" i="322" s="1"/>
  <c r="W19" i="322"/>
  <c r="V19" i="322"/>
  <c r="R19" i="322"/>
  <c r="Q19" i="322"/>
  <c r="O19" i="322"/>
  <c r="N19" i="322"/>
  <c r="M19" i="322"/>
  <c r="AE18" i="322"/>
  <c r="AG18" i="322" s="1"/>
  <c r="AD18" i="322"/>
  <c r="AF18" i="322" s="1"/>
  <c r="W18" i="322"/>
  <c r="V18" i="322"/>
  <c r="R18" i="322"/>
  <c r="Q18" i="322"/>
  <c r="O18" i="322"/>
  <c r="N18" i="322"/>
  <c r="M18" i="322"/>
  <c r="AJ17" i="322"/>
  <c r="AC17" i="322"/>
  <c r="AB17" i="322"/>
  <c r="AA17" i="322"/>
  <c r="AA96" i="322" s="1"/>
  <c r="Z17" i="322"/>
  <c r="Z96" i="322" s="1"/>
  <c r="Y17" i="322"/>
  <c r="Y96" i="322" s="1"/>
  <c r="X17" i="322"/>
  <c r="K17" i="322"/>
  <c r="J17" i="322"/>
  <c r="I17" i="322"/>
  <c r="H17" i="322"/>
  <c r="G17" i="322"/>
  <c r="F17" i="322"/>
  <c r="E17" i="322"/>
  <c r="D17" i="322"/>
  <c r="C17" i="322"/>
  <c r="W16" i="322"/>
  <c r="V16" i="322"/>
  <c r="Q16" i="322"/>
  <c r="K13" i="322"/>
  <c r="J13" i="322"/>
  <c r="G13" i="322"/>
  <c r="E13" i="322"/>
  <c r="C13" i="322"/>
  <c r="G5" i="322"/>
  <c r="F5" i="322"/>
  <c r="J4" i="322"/>
  <c r="AH18" i="322" l="1"/>
  <c r="AL18" i="322"/>
  <c r="AH22" i="322"/>
  <c r="AL22" i="322"/>
  <c r="AH36" i="322"/>
  <c r="AL36" i="322"/>
  <c r="AI49" i="322"/>
  <c r="AM49" i="322"/>
  <c r="AI53" i="322"/>
  <c r="AM53" i="322"/>
  <c r="AG52" i="322"/>
  <c r="AH19" i="322"/>
  <c r="AL19" i="322"/>
  <c r="AI20" i="322"/>
  <c r="AM20" i="322"/>
  <c r="AH23" i="322"/>
  <c r="AL23" i="322"/>
  <c r="AI40" i="322"/>
  <c r="AM40" i="322"/>
  <c r="AI48" i="322"/>
  <c r="AM48" i="322"/>
  <c r="AH59" i="322"/>
  <c r="AL59" i="322"/>
  <c r="AI83" i="322"/>
  <c r="AM83" i="322"/>
  <c r="AI19" i="322"/>
  <c r="AM19" i="322"/>
  <c r="AI23" i="322"/>
  <c r="AM23" i="322"/>
  <c r="AI44" i="322"/>
  <c r="AM44" i="322"/>
  <c r="AH63" i="322"/>
  <c r="AL63" i="322"/>
  <c r="AH27" i="322"/>
  <c r="AH32" i="322"/>
  <c r="Q57" i="322"/>
  <c r="AH65" i="322"/>
  <c r="O82" i="322"/>
  <c r="AH84" i="322"/>
  <c r="O85" i="322"/>
  <c r="Q85" i="322"/>
  <c r="AM93" i="322"/>
  <c r="AH26" i="322"/>
  <c r="AI28" i="322"/>
  <c r="AH30" i="322"/>
  <c r="AI33" i="322"/>
  <c r="AM41" i="322"/>
  <c r="AM45" i="322"/>
  <c r="W57" i="322"/>
  <c r="R60" i="322"/>
  <c r="V60" i="322"/>
  <c r="AM69" i="322"/>
  <c r="V69" i="322"/>
  <c r="O69" i="322"/>
  <c r="AM75" i="322"/>
  <c r="R75" i="322"/>
  <c r="AI82" i="322"/>
  <c r="V82" i="322"/>
  <c r="AM89" i="322"/>
  <c r="V37" i="322"/>
  <c r="I96" i="322"/>
  <c r="Q96" i="322" s="1"/>
  <c r="H96" i="322"/>
  <c r="R37" i="322"/>
  <c r="J96" i="322"/>
  <c r="V24" i="322"/>
  <c r="E96" i="322"/>
  <c r="D96" i="322"/>
  <c r="AG39" i="322"/>
  <c r="AG37" i="322" s="1"/>
  <c r="AM37" i="322" s="1"/>
  <c r="AE37" i="322"/>
  <c r="F96" i="322"/>
  <c r="W17" i="322"/>
  <c r="AF20" i="322"/>
  <c r="AD17" i="322"/>
  <c r="O24" i="322"/>
  <c r="AD24" i="322"/>
  <c r="AI25" i="322"/>
  <c r="AM34" i="322"/>
  <c r="O52" i="322"/>
  <c r="V52" i="322"/>
  <c r="AH62" i="322"/>
  <c r="AL62" i="322"/>
  <c r="AL64" i="322"/>
  <c r="AH64" i="322"/>
  <c r="AL88" i="322"/>
  <c r="AH88" i="322"/>
  <c r="AJ88" i="322" s="1"/>
  <c r="AI38" i="322"/>
  <c r="AM38" i="322"/>
  <c r="AF54" i="322"/>
  <c r="AD52" i="322"/>
  <c r="AM76" i="322"/>
  <c r="AI76" i="322"/>
  <c r="AM80" i="322"/>
  <c r="AI80" i="322"/>
  <c r="AL92" i="322"/>
  <c r="AH92" i="322"/>
  <c r="AJ92" i="322" s="1"/>
  <c r="C96" i="322"/>
  <c r="G96" i="322"/>
  <c r="K96" i="322"/>
  <c r="X96" i="322"/>
  <c r="AB96" i="322"/>
  <c r="AI18" i="322"/>
  <c r="AM18" i="322"/>
  <c r="AG21" i="322"/>
  <c r="AE17" i="322"/>
  <c r="AI26" i="322"/>
  <c r="AI27" i="322"/>
  <c r="AL28" i="322"/>
  <c r="AL29" i="322"/>
  <c r="AH31" i="322"/>
  <c r="AI32" i="322"/>
  <c r="AL33" i="322"/>
  <c r="AH34" i="322"/>
  <c r="Q37" i="322"/>
  <c r="O37" i="322"/>
  <c r="AH42" i="322"/>
  <c r="AI43" i="322"/>
  <c r="AH46" i="322"/>
  <c r="AI47" i="322"/>
  <c r="AH50" i="322"/>
  <c r="AH51" i="322"/>
  <c r="AI54" i="322"/>
  <c r="AM54" i="322"/>
  <c r="AM55" i="322"/>
  <c r="AL56" i="322"/>
  <c r="AH56" i="322"/>
  <c r="AG62" i="322"/>
  <c r="AE60" i="322"/>
  <c r="AI68" i="322"/>
  <c r="AM68" i="322"/>
  <c r="AI71" i="322"/>
  <c r="AM71" i="322"/>
  <c r="AI78" i="322"/>
  <c r="AM78" i="322"/>
  <c r="V17" i="322"/>
  <c r="AM65" i="322"/>
  <c r="AI65" i="322"/>
  <c r="AM73" i="322"/>
  <c r="AI73" i="322"/>
  <c r="AG86" i="322"/>
  <c r="AE85" i="322"/>
  <c r="V96" i="322"/>
  <c r="Q17" i="322"/>
  <c r="AH21" i="322"/>
  <c r="AI22" i="322"/>
  <c r="R24" i="322"/>
  <c r="AL25" i="322"/>
  <c r="AF24" i="322"/>
  <c r="AL24" i="322" s="1"/>
  <c r="AM25" i="322"/>
  <c r="AM29" i="322"/>
  <c r="AM30" i="322"/>
  <c r="AC24" i="322"/>
  <c r="AC96" i="322" s="1"/>
  <c r="AE31" i="322"/>
  <c r="AG31" i="322" s="1"/>
  <c r="AG24" i="322" s="1"/>
  <c r="AM24" i="322" s="1"/>
  <c r="AH35" i="322"/>
  <c r="AI36" i="322"/>
  <c r="AF37" i="322"/>
  <c r="AL37" i="322" s="1"/>
  <c r="AH38" i="322"/>
  <c r="AL39" i="322"/>
  <c r="AL40" i="322"/>
  <c r="AH41" i="322"/>
  <c r="AI42" i="322"/>
  <c r="AL43" i="322"/>
  <c r="AL44" i="322"/>
  <c r="AH45" i="322"/>
  <c r="AI46" i="322"/>
  <c r="AL47" i="322"/>
  <c r="AL48" i="322"/>
  <c r="AH49" i="322"/>
  <c r="AI50" i="322"/>
  <c r="AI51" i="322"/>
  <c r="AI52" i="322"/>
  <c r="Q52" i="322"/>
  <c r="AL53" i="322"/>
  <c r="AE57" i="322"/>
  <c r="AG58" i="322"/>
  <c r="AI67" i="322"/>
  <c r="AM67" i="322"/>
  <c r="AH70" i="322"/>
  <c r="AL70" i="322"/>
  <c r="AH74" i="322"/>
  <c r="AL74" i="322"/>
  <c r="AH77" i="322"/>
  <c r="AL77" i="322"/>
  <c r="AH81" i="322"/>
  <c r="AL81" i="322"/>
  <c r="AL90" i="322"/>
  <c r="AH90" i="322"/>
  <c r="AJ90" i="322" s="1"/>
  <c r="Q24" i="322"/>
  <c r="AM52" i="322"/>
  <c r="AL55" i="322"/>
  <c r="AH55" i="322"/>
  <c r="AM56" i="322"/>
  <c r="AI56" i="322"/>
  <c r="AI59" i="322"/>
  <c r="AM59" i="322"/>
  <c r="AL61" i="322"/>
  <c r="AF60" i="322"/>
  <c r="AH66" i="322"/>
  <c r="AL66" i="322"/>
  <c r="AL75" i="322"/>
  <c r="W75" i="322"/>
  <c r="AH82" i="322"/>
  <c r="W82" i="322"/>
  <c r="AF86" i="322"/>
  <c r="AD85" i="322"/>
  <c r="AM87" i="322"/>
  <c r="AI87" i="322"/>
  <c r="AK87" i="322" s="1"/>
  <c r="AL89" i="322"/>
  <c r="AH89" i="322"/>
  <c r="AJ89" i="322" s="1"/>
  <c r="AM90" i="322"/>
  <c r="AI90" i="322"/>
  <c r="AK90" i="322" s="1"/>
  <c r="AM91" i="322"/>
  <c r="AI91" i="322"/>
  <c r="AK91" i="322" s="1"/>
  <c r="AL93" i="322"/>
  <c r="AH93" i="322"/>
  <c r="AJ93" i="322" s="1"/>
  <c r="AD57" i="322"/>
  <c r="AF58" i="322"/>
  <c r="AL60" i="322"/>
  <c r="W60" i="322"/>
  <c r="AD60" i="322"/>
  <c r="AM61" i="322"/>
  <c r="AG60" i="322"/>
  <c r="AM60" i="322" s="1"/>
  <c r="AI61" i="322"/>
  <c r="AI63" i="322"/>
  <c r="AM63" i="322"/>
  <c r="AL67" i="322"/>
  <c r="AL68" i="322"/>
  <c r="AH68" i="322"/>
  <c r="W69" i="322"/>
  <c r="AI69" i="322"/>
  <c r="AL71" i="322"/>
  <c r="AH71" i="322"/>
  <c r="AM72" i="322"/>
  <c r="AI72" i="322"/>
  <c r="V75" i="322"/>
  <c r="AL78" i="322"/>
  <c r="AH78" i="322"/>
  <c r="AM79" i="322"/>
  <c r="AI79" i="322"/>
  <c r="AM64" i="322"/>
  <c r="AI66" i="322"/>
  <c r="AH72" i="322"/>
  <c r="AH75" i="322"/>
  <c r="AH79" i="322"/>
  <c r="AL82" i="322"/>
  <c r="AL83" i="322"/>
  <c r="AH83" i="322"/>
  <c r="AM84" i="322"/>
  <c r="AI84" i="322"/>
  <c r="AL87" i="322"/>
  <c r="AH87" i="322"/>
  <c r="AJ87" i="322" s="1"/>
  <c r="AM88" i="322"/>
  <c r="AI88" i="322"/>
  <c r="AK88" i="322" s="1"/>
  <c r="AL91" i="322"/>
  <c r="AH91" i="322"/>
  <c r="AJ91" i="322" s="1"/>
  <c r="AM92" i="322"/>
  <c r="AI92" i="322"/>
  <c r="AK92" i="322" s="1"/>
  <c r="AM95" i="322"/>
  <c r="AI95" i="322"/>
  <c r="AK95" i="322" s="1"/>
  <c r="R57" i="322"/>
  <c r="O60" i="322"/>
  <c r="Q69" i="322"/>
  <c r="AL69" i="322"/>
  <c r="AM70" i="322"/>
  <c r="AL73" i="322"/>
  <c r="AM74" i="322"/>
  <c r="AI75" i="322"/>
  <c r="AL76" i="322"/>
  <c r="AM77" i="322"/>
  <c r="AL80" i="322"/>
  <c r="AM81" i="322"/>
  <c r="AM82" i="322"/>
  <c r="R85" i="322"/>
  <c r="AI94" i="322"/>
  <c r="AK94" i="322" s="1"/>
  <c r="AH95" i="322"/>
  <c r="AJ95" i="322" s="1"/>
  <c r="V57" i="322"/>
  <c r="Q60" i="322"/>
  <c r="R69" i="322"/>
  <c r="Q75" i="322"/>
  <c r="Q82" i="322"/>
  <c r="V85" i="322"/>
  <c r="M150" i="292"/>
  <c r="N150" i="292" s="1"/>
  <c r="M69" i="292"/>
  <c r="N69" i="292" s="1"/>
  <c r="M68" i="292"/>
  <c r="N68" i="292" s="1"/>
  <c r="M67" i="292"/>
  <c r="N67" i="292" s="1"/>
  <c r="N12" i="292"/>
  <c r="O12" i="292" s="1"/>
  <c r="N11" i="292"/>
  <c r="O11" i="292" s="1"/>
  <c r="N10" i="292"/>
  <c r="O10" i="292" s="1"/>
  <c r="N9" i="292"/>
  <c r="O9" i="292" s="1"/>
  <c r="N8" i="292"/>
  <c r="O8" i="292" s="1"/>
  <c r="N23" i="292"/>
  <c r="O23" i="292" s="1"/>
  <c r="N22" i="292"/>
  <c r="O22" i="292" s="1"/>
  <c r="N21" i="292"/>
  <c r="O21" i="292" s="1"/>
  <c r="N20" i="292"/>
  <c r="O20" i="292" s="1"/>
  <c r="N19" i="292"/>
  <c r="O19" i="292" s="1"/>
  <c r="N18" i="292"/>
  <c r="O18" i="292" s="1"/>
  <c r="N17" i="292"/>
  <c r="O17" i="292" s="1"/>
  <c r="N16" i="292"/>
  <c r="O16" i="292" s="1"/>
  <c r="N15" i="292"/>
  <c r="O15" i="292" s="1"/>
  <c r="N14" i="292"/>
  <c r="O14" i="292" s="1"/>
  <c r="AH60" i="322" l="1"/>
  <c r="W96" i="322"/>
  <c r="O96" i="322"/>
  <c r="AH24" i="322"/>
  <c r="AH58" i="322"/>
  <c r="AH57" i="322" s="1"/>
  <c r="AL58" i="322"/>
  <c r="AF57" i="322"/>
  <c r="AL57" i="322" s="1"/>
  <c r="AM86" i="322"/>
  <c r="AI86" i="322"/>
  <c r="AG85" i="322"/>
  <c r="AM85" i="322" s="1"/>
  <c r="AK38" i="322"/>
  <c r="AD96" i="322"/>
  <c r="AM58" i="322"/>
  <c r="AG57" i="322"/>
  <c r="AM57" i="322" s="1"/>
  <c r="AI58" i="322"/>
  <c r="AI57" i="322" s="1"/>
  <c r="AE24" i="322"/>
  <c r="AE96" i="322" s="1"/>
  <c r="AK18" i="322"/>
  <c r="AL20" i="322"/>
  <c r="AF17" i="322"/>
  <c r="AH20" i="322"/>
  <c r="AH17" i="322" s="1"/>
  <c r="AL86" i="322"/>
  <c r="AF85" i="322"/>
  <c r="AL85" i="322" s="1"/>
  <c r="AH86" i="322"/>
  <c r="AM62" i="322"/>
  <c r="AI62" i="322"/>
  <c r="AI60" i="322" s="1"/>
  <c r="AL54" i="322"/>
  <c r="AH54" i="322"/>
  <c r="AF52" i="322"/>
  <c r="AH37" i="322"/>
  <c r="AI31" i="322"/>
  <c r="AI24" i="322" s="1"/>
  <c r="AK24" i="322" s="1"/>
  <c r="AM31" i="322"/>
  <c r="AM21" i="322"/>
  <c r="AI21" i="322"/>
  <c r="AI17" i="322" s="1"/>
  <c r="AG17" i="322"/>
  <c r="AM39" i="322"/>
  <c r="AI39" i="322"/>
  <c r="AI37" i="322" s="1"/>
  <c r="AK37" i="322" s="1"/>
  <c r="AG96" i="322" l="1"/>
  <c r="AM96" i="322" s="1"/>
  <c r="AM17" i="322"/>
  <c r="AJ86" i="322"/>
  <c r="AJ85" i="322" s="1"/>
  <c r="AH85" i="322"/>
  <c r="AL52" i="322"/>
  <c r="AH52" i="322"/>
  <c r="AF96" i="322"/>
  <c r="AL96" i="322" s="1"/>
  <c r="AL17" i="322"/>
  <c r="AK86" i="322"/>
  <c r="AI85" i="322"/>
  <c r="AK85" i="322" s="1"/>
  <c r="AH96" i="322" l="1"/>
  <c r="AJ96" i="322" s="1"/>
  <c r="AI96" i="322"/>
  <c r="AK96" i="322" s="1"/>
  <c r="M71" i="292"/>
  <c r="N71" i="292" s="1"/>
  <c r="H71" i="292"/>
  <c r="H83" i="292"/>
  <c r="I83" i="292" s="1"/>
  <c r="R67" i="300"/>
  <c r="R68" i="300"/>
  <c r="R69" i="300"/>
  <c r="O67" i="300"/>
  <c r="O68" i="300"/>
  <c r="O69" i="300"/>
  <c r="R59" i="300"/>
  <c r="O59" i="300"/>
  <c r="I58" i="300" l="1"/>
  <c r="I59" i="300"/>
  <c r="I60" i="300"/>
  <c r="I61" i="300"/>
  <c r="I62" i="300"/>
  <c r="I63" i="300"/>
  <c r="I64" i="300"/>
  <c r="I65" i="300"/>
  <c r="I66" i="300"/>
  <c r="I67" i="300"/>
  <c r="I68" i="300"/>
  <c r="I69" i="300"/>
  <c r="I70" i="300"/>
  <c r="L68" i="300" l="1"/>
  <c r="L67" i="300"/>
  <c r="L59" i="300"/>
  <c r="B18" i="301" l="1"/>
  <c r="Q41" i="300"/>
  <c r="N41" i="300"/>
  <c r="R40" i="300"/>
  <c r="O40" i="300"/>
  <c r="L40" i="300"/>
  <c r="I40" i="300"/>
  <c r="F40" i="300"/>
  <c r="R39" i="300"/>
  <c r="O39" i="300"/>
  <c r="L39" i="300"/>
  <c r="I39" i="300"/>
  <c r="F39" i="300"/>
  <c r="R38" i="300"/>
  <c r="O38" i="300"/>
  <c r="L38" i="300"/>
  <c r="I38" i="300"/>
  <c r="F38" i="300"/>
  <c r="R37" i="300"/>
  <c r="O37" i="300"/>
  <c r="L37" i="300"/>
  <c r="I37" i="300"/>
  <c r="F37" i="300"/>
  <c r="R36" i="300"/>
  <c r="O36" i="300"/>
  <c r="L36" i="300"/>
  <c r="I36" i="300"/>
  <c r="H41" i="300"/>
  <c r="E41" i="300"/>
  <c r="R35" i="300"/>
  <c r="O35" i="300"/>
  <c r="K41" i="300"/>
  <c r="I35" i="300"/>
  <c r="F35" i="300"/>
  <c r="R34" i="300"/>
  <c r="O34" i="300"/>
  <c r="L34" i="300"/>
  <c r="I34" i="300"/>
  <c r="F34" i="300"/>
  <c r="R33" i="300"/>
  <c r="O33" i="300"/>
  <c r="L33" i="300"/>
  <c r="I33" i="300"/>
  <c r="F33" i="300"/>
  <c r="R32" i="300"/>
  <c r="O32" i="300"/>
  <c r="L32" i="300"/>
  <c r="I32" i="300"/>
  <c r="F32" i="300"/>
  <c r="R31" i="300"/>
  <c r="O31" i="300"/>
  <c r="L31" i="300"/>
  <c r="I31" i="300"/>
  <c r="F31" i="300"/>
  <c r="B17" i="301"/>
  <c r="Q29" i="300"/>
  <c r="N29" i="300"/>
  <c r="R28" i="300"/>
  <c r="O28" i="300"/>
  <c r="L28" i="300"/>
  <c r="I28" i="300"/>
  <c r="F28" i="300"/>
  <c r="R27" i="300"/>
  <c r="O27" i="300"/>
  <c r="L27" i="300"/>
  <c r="I27" i="300"/>
  <c r="F27" i="300"/>
  <c r="R26" i="300"/>
  <c r="O26" i="300"/>
  <c r="L26" i="300"/>
  <c r="I26" i="300"/>
  <c r="F26" i="300"/>
  <c r="R25" i="300"/>
  <c r="O25" i="300"/>
  <c r="L25" i="300"/>
  <c r="I25" i="300"/>
  <c r="F25" i="300"/>
  <c r="R24" i="300"/>
  <c r="O24" i="300"/>
  <c r="L24" i="300"/>
  <c r="I24" i="300"/>
  <c r="H29" i="300"/>
  <c r="F24" i="300"/>
  <c r="R23" i="300"/>
  <c r="O23" i="300"/>
  <c r="K29" i="300"/>
  <c r="I23" i="300"/>
  <c r="F23" i="300"/>
  <c r="R22" i="300"/>
  <c r="O22" i="300"/>
  <c r="L22" i="300"/>
  <c r="I22" i="300"/>
  <c r="F22" i="300"/>
  <c r="R21" i="300"/>
  <c r="O21" i="300"/>
  <c r="L21" i="300"/>
  <c r="I21" i="300"/>
  <c r="F21" i="300"/>
  <c r="R20" i="300"/>
  <c r="O20" i="300"/>
  <c r="L20" i="300"/>
  <c r="I20" i="300"/>
  <c r="F20" i="300"/>
  <c r="E29" i="300"/>
  <c r="R19" i="300"/>
  <c r="O19" i="300"/>
  <c r="L19" i="300"/>
  <c r="I19" i="300"/>
  <c r="F19" i="300"/>
  <c r="P140" i="294"/>
  <c r="P139" i="294"/>
  <c r="P138" i="294"/>
  <c r="P137" i="294"/>
  <c r="O136" i="294"/>
  <c r="N136" i="294"/>
  <c r="M136" i="294"/>
  <c r="L136" i="294"/>
  <c r="K136" i="294"/>
  <c r="J136" i="294"/>
  <c r="I136" i="294"/>
  <c r="H136" i="294"/>
  <c r="G136" i="294"/>
  <c r="N110" i="294"/>
  <c r="P87" i="294"/>
  <c r="P86" i="294"/>
  <c r="P85" i="294"/>
  <c r="N83" i="294"/>
  <c r="I83" i="294"/>
  <c r="H83" i="294"/>
  <c r="O83" i="294"/>
  <c r="M83" i="294"/>
  <c r="L83" i="294"/>
  <c r="K83" i="294"/>
  <c r="J83" i="294"/>
  <c r="G83" i="294"/>
  <c r="M157" i="294"/>
  <c r="H157" i="294"/>
  <c r="P153" i="294"/>
  <c r="P152" i="294"/>
  <c r="P151" i="294"/>
  <c r="M149" i="294"/>
  <c r="I149" i="294"/>
  <c r="L149" i="294"/>
  <c r="K149" i="294"/>
  <c r="J149" i="294"/>
  <c r="P146" i="294"/>
  <c r="P145" i="294"/>
  <c r="J142" i="294"/>
  <c r="P135" i="294"/>
  <c r="P134" i="294"/>
  <c r="P133" i="294"/>
  <c r="P132" i="294"/>
  <c r="P131" i="294"/>
  <c r="O130" i="294"/>
  <c r="N130" i="294"/>
  <c r="M130" i="294"/>
  <c r="L130" i="294"/>
  <c r="K130" i="294"/>
  <c r="J130" i="294"/>
  <c r="I130" i="294"/>
  <c r="H130" i="294"/>
  <c r="G130" i="294"/>
  <c r="P129" i="294"/>
  <c r="P128" i="294"/>
  <c r="P127" i="294"/>
  <c r="P126" i="294"/>
  <c r="P125" i="294"/>
  <c r="O124" i="294"/>
  <c r="N124" i="294"/>
  <c r="M124" i="294"/>
  <c r="L124" i="294"/>
  <c r="K124" i="294"/>
  <c r="J124" i="294"/>
  <c r="I124" i="294"/>
  <c r="H124" i="294"/>
  <c r="G124" i="294"/>
  <c r="P123" i="294"/>
  <c r="P122" i="294"/>
  <c r="P121" i="294"/>
  <c r="P120" i="294"/>
  <c r="P119" i="294"/>
  <c r="O118" i="294"/>
  <c r="N118" i="294"/>
  <c r="M118" i="294"/>
  <c r="L118" i="294"/>
  <c r="K118" i="294"/>
  <c r="J118" i="294"/>
  <c r="I118" i="294"/>
  <c r="H118" i="294"/>
  <c r="G118" i="294"/>
  <c r="H112" i="294"/>
  <c r="G112" i="294"/>
  <c r="P136" i="294" l="1"/>
  <c r="R41" i="300"/>
  <c r="L18" i="301" s="1"/>
  <c r="AI18" i="301" s="1"/>
  <c r="AK18" i="301" s="1"/>
  <c r="O41" i="300"/>
  <c r="K18" i="301" s="1"/>
  <c r="Y18" i="301" s="1"/>
  <c r="AB18" i="301" s="1"/>
  <c r="I41" i="300"/>
  <c r="E18" i="301" s="1"/>
  <c r="F18" i="301" s="1"/>
  <c r="G18" i="301" s="1"/>
  <c r="R29" i="300"/>
  <c r="L17" i="301" s="1"/>
  <c r="AI17" i="301" s="1"/>
  <c r="O29" i="300"/>
  <c r="K17" i="301" s="1"/>
  <c r="Y17" i="301" s="1"/>
  <c r="I29" i="300"/>
  <c r="L35" i="300"/>
  <c r="L41" i="300" s="1"/>
  <c r="F36" i="300"/>
  <c r="F41" i="300" s="1"/>
  <c r="D18" i="301" s="1"/>
  <c r="F29" i="300"/>
  <c r="D17" i="301" s="1"/>
  <c r="L23" i="300"/>
  <c r="L29" i="300" s="1"/>
  <c r="H17" i="301" s="1"/>
  <c r="P124" i="294"/>
  <c r="J117" i="294"/>
  <c r="P130" i="294"/>
  <c r="P83" i="294"/>
  <c r="P84" i="294"/>
  <c r="P118" i="294"/>
  <c r="P40" i="294"/>
  <c r="P39" i="294"/>
  <c r="J36" i="294"/>
  <c r="H36" i="294"/>
  <c r="H18" i="301" l="1"/>
  <c r="I18" i="301" s="1"/>
  <c r="O18" i="301" s="1"/>
  <c r="S18" i="301" s="1"/>
  <c r="AM18" i="301"/>
  <c r="AL18" i="301"/>
  <c r="AC18" i="301"/>
  <c r="AA18" i="301"/>
  <c r="E17" i="301"/>
  <c r="F17" i="301" s="1"/>
  <c r="G17" i="301" s="1"/>
  <c r="AK17" i="301"/>
  <c r="AL17" i="301"/>
  <c r="AM17" i="301"/>
  <c r="AA17" i="301"/>
  <c r="AB17" i="301"/>
  <c r="AC17" i="301"/>
  <c r="I17" i="301"/>
  <c r="O17" i="301" s="1"/>
  <c r="M104" i="294"/>
  <c r="H104" i="294"/>
  <c r="T64" i="300"/>
  <c r="R18" i="301" l="1"/>
  <c r="Q18" i="301"/>
  <c r="J18" i="301"/>
  <c r="J17" i="301"/>
  <c r="R17" i="301"/>
  <c r="Q17" i="301"/>
  <c r="S17" i="301"/>
  <c r="H15" i="301" l="1"/>
  <c r="F58" i="300" l="1"/>
  <c r="F60" i="300"/>
  <c r="F61" i="300"/>
  <c r="F62" i="300"/>
  <c r="F63" i="300"/>
  <c r="F64" i="300"/>
  <c r="F65" i="300"/>
  <c r="F66" i="300"/>
  <c r="F69" i="300"/>
  <c r="F70" i="300"/>
  <c r="O56" i="300"/>
  <c r="O57" i="300"/>
  <c r="O58" i="300"/>
  <c r="O60" i="300"/>
  <c r="O61" i="300"/>
  <c r="O62" i="300"/>
  <c r="O63" i="300"/>
  <c r="O64" i="300"/>
  <c r="O65" i="300"/>
  <c r="O66" i="300"/>
  <c r="O70" i="300"/>
  <c r="R56" i="300"/>
  <c r="R57" i="300"/>
  <c r="R58" i="300"/>
  <c r="R60" i="300"/>
  <c r="R61" i="300"/>
  <c r="R62" i="300"/>
  <c r="R63" i="300"/>
  <c r="R64" i="300"/>
  <c r="R65" i="300"/>
  <c r="R66" i="300"/>
  <c r="R70" i="300"/>
  <c r="R78" i="300"/>
  <c r="L78" i="300"/>
  <c r="I78" i="300"/>
  <c r="E24" i="301" s="1"/>
  <c r="F78" i="300"/>
  <c r="L13" i="291"/>
  <c r="F75" i="300"/>
  <c r="M134" i="292"/>
  <c r="L64" i="300"/>
  <c r="L62" i="300"/>
  <c r="L60" i="300"/>
  <c r="L4" i="301"/>
  <c r="Y7" i="301" s="1"/>
  <c r="O76" i="300"/>
  <c r="M318" i="292"/>
  <c r="N318" i="292" s="1"/>
  <c r="M317" i="292"/>
  <c r="N317" i="292" s="1"/>
  <c r="M316" i="292"/>
  <c r="N316" i="292" s="1"/>
  <c r="M315" i="292"/>
  <c r="N315" i="292" s="1"/>
  <c r="M314" i="292"/>
  <c r="N314" i="292" s="1"/>
  <c r="M313" i="292"/>
  <c r="N313" i="292" s="1"/>
  <c r="M312" i="292"/>
  <c r="N312" i="292" s="1"/>
  <c r="M311" i="292"/>
  <c r="N311" i="292" s="1"/>
  <c r="M310" i="292"/>
  <c r="N310" i="292" s="1"/>
  <c r="M309" i="292"/>
  <c r="N309" i="292" s="1"/>
  <c r="M308" i="292"/>
  <c r="N308" i="292" s="1"/>
  <c r="M307" i="292"/>
  <c r="N307" i="292" s="1"/>
  <c r="M306" i="292"/>
  <c r="M72" i="292"/>
  <c r="M73" i="292"/>
  <c r="M74" i="292"/>
  <c r="M75" i="292"/>
  <c r="N75" i="292" s="1"/>
  <c r="M76" i="292"/>
  <c r="M77" i="292"/>
  <c r="M78" i="292"/>
  <c r="M79" i="292"/>
  <c r="N79" i="292" s="1"/>
  <c r="M80" i="292"/>
  <c r="N80" i="292" s="1"/>
  <c r="M157" i="292"/>
  <c r="M158" i="292"/>
  <c r="M159" i="292"/>
  <c r="M160" i="292"/>
  <c r="M161" i="292"/>
  <c r="M162" i="292"/>
  <c r="M132" i="292"/>
  <c r="M136" i="292"/>
  <c r="M142" i="292"/>
  <c r="M143" i="292"/>
  <c r="M144" i="292"/>
  <c r="M145" i="292"/>
  <c r="M146" i="292"/>
  <c r="M147" i="292"/>
  <c r="M148" i="292"/>
  <c r="M149" i="292"/>
  <c r="M151" i="292"/>
  <c r="M152" i="292"/>
  <c r="M153" i="292"/>
  <c r="M154" i="292"/>
  <c r="M155" i="292"/>
  <c r="M156" i="292"/>
  <c r="M131" i="292"/>
  <c r="H108" i="292"/>
  <c r="H107" i="292"/>
  <c r="H106" i="292"/>
  <c r="I106" i="292" s="1"/>
  <c r="H105" i="292"/>
  <c r="H104" i="292"/>
  <c r="H103" i="292"/>
  <c r="I103" i="292" s="1"/>
  <c r="H102" i="292"/>
  <c r="I102" i="292" s="1"/>
  <c r="H101" i="292"/>
  <c r="H100" i="292"/>
  <c r="H99" i="292"/>
  <c r="H98" i="292"/>
  <c r="I98" i="292" s="1"/>
  <c r="H97" i="292"/>
  <c r="H96" i="292"/>
  <c r="H95" i="292"/>
  <c r="H84" i="292"/>
  <c r="H85" i="292"/>
  <c r="H86" i="292"/>
  <c r="H87" i="292"/>
  <c r="H88" i="292"/>
  <c r="L49" i="300"/>
  <c r="K71" i="300"/>
  <c r="K53" i="300"/>
  <c r="K17" i="300"/>
  <c r="I75" i="300"/>
  <c r="I77" i="300" s="1"/>
  <c r="E23" i="301" s="1"/>
  <c r="I76" i="300"/>
  <c r="I55" i="300"/>
  <c r="I56" i="300"/>
  <c r="I57" i="300"/>
  <c r="I43" i="300"/>
  <c r="I44" i="300"/>
  <c r="I45" i="300"/>
  <c r="I46" i="300"/>
  <c r="I47" i="300"/>
  <c r="I48" i="300"/>
  <c r="I49" i="300"/>
  <c r="I50" i="300"/>
  <c r="I51" i="300"/>
  <c r="I52" i="300"/>
  <c r="I9" i="300"/>
  <c r="I10" i="300"/>
  <c r="I11" i="300"/>
  <c r="I12" i="300"/>
  <c r="I13" i="300"/>
  <c r="I14" i="300"/>
  <c r="I15" i="300"/>
  <c r="I16" i="300"/>
  <c r="E53" i="300"/>
  <c r="F9" i="300"/>
  <c r="F15" i="300"/>
  <c r="F16" i="300"/>
  <c r="F11" i="300"/>
  <c r="F12" i="300"/>
  <c r="F13" i="300"/>
  <c r="F14" i="300"/>
  <c r="F43" i="300"/>
  <c r="F44" i="300"/>
  <c r="F45" i="300"/>
  <c r="F46" i="300"/>
  <c r="F47" i="300"/>
  <c r="F48" i="300"/>
  <c r="F49" i="300"/>
  <c r="F50" i="300"/>
  <c r="F51" i="300"/>
  <c r="F52" i="300"/>
  <c r="F55" i="300"/>
  <c r="F57" i="300"/>
  <c r="F76" i="300"/>
  <c r="F77" i="300" s="1"/>
  <c r="D23" i="301" s="1"/>
  <c r="L75" i="300"/>
  <c r="L76" i="300"/>
  <c r="L45" i="300"/>
  <c r="L50" i="300"/>
  <c r="L43" i="300"/>
  <c r="L44" i="300"/>
  <c r="L46" i="300"/>
  <c r="L47" i="300"/>
  <c r="L48" i="300"/>
  <c r="L51" i="300"/>
  <c r="H27" i="301"/>
  <c r="I27" i="301" s="1"/>
  <c r="O27" i="301" s="1"/>
  <c r="L9" i="300"/>
  <c r="L10" i="300"/>
  <c r="L11" i="300"/>
  <c r="L12" i="300"/>
  <c r="L13" i="300"/>
  <c r="L55" i="300"/>
  <c r="L56" i="300"/>
  <c r="L57" i="300"/>
  <c r="L58" i="300"/>
  <c r="L61" i="300"/>
  <c r="L66" i="300"/>
  <c r="L69" i="300"/>
  <c r="L63" i="300"/>
  <c r="L70" i="300"/>
  <c r="H21" i="301"/>
  <c r="I21" i="301" s="1"/>
  <c r="O21" i="301" s="1"/>
  <c r="R75" i="300"/>
  <c r="R76" i="300"/>
  <c r="O75" i="300"/>
  <c r="O77" i="300" s="1"/>
  <c r="K23" i="301" s="1"/>
  <c r="Y23" i="301" s="1"/>
  <c r="H90" i="292"/>
  <c r="H89" i="292"/>
  <c r="N71" i="300"/>
  <c r="N17" i="300"/>
  <c r="N89" i="300" s="1"/>
  <c r="N53" i="300"/>
  <c r="W13" i="291"/>
  <c r="M13" i="291"/>
  <c r="N13" i="291"/>
  <c r="O13" i="291"/>
  <c r="P13" i="291"/>
  <c r="Q13" i="291"/>
  <c r="O38" i="294" s="1"/>
  <c r="P38" i="294" s="1"/>
  <c r="P45" i="294"/>
  <c r="R13" i="291"/>
  <c r="S13" i="291"/>
  <c r="O91" i="294" s="1"/>
  <c r="P91" i="294" s="1"/>
  <c r="T13" i="291"/>
  <c r="U13" i="291"/>
  <c r="V13" i="291"/>
  <c r="Q17" i="300"/>
  <c r="Q53" i="300"/>
  <c r="Q71" i="300"/>
  <c r="L13" i="301"/>
  <c r="AI13" i="301" s="1"/>
  <c r="AL13" i="301" s="1"/>
  <c r="L14" i="301"/>
  <c r="AI14" i="301" s="1"/>
  <c r="AK14" i="301" s="1"/>
  <c r="L15" i="301"/>
  <c r="AI15" i="301" s="1"/>
  <c r="AL15" i="301" s="1"/>
  <c r="R9" i="300"/>
  <c r="R10" i="300"/>
  <c r="R11" i="300"/>
  <c r="R12" i="300"/>
  <c r="R13" i="300"/>
  <c r="R14" i="300"/>
  <c r="R15" i="300"/>
  <c r="R43" i="300"/>
  <c r="R44" i="300"/>
  <c r="R45" i="300"/>
  <c r="R46" i="300"/>
  <c r="R47" i="300"/>
  <c r="R48" i="300"/>
  <c r="R49" i="300"/>
  <c r="R50" i="300"/>
  <c r="R51" i="300"/>
  <c r="R55" i="300"/>
  <c r="L21" i="301"/>
  <c r="AI21" i="301" s="1"/>
  <c r="L22" i="301"/>
  <c r="AI22" i="301" s="1"/>
  <c r="L25" i="301"/>
  <c r="AI25" i="301" s="1"/>
  <c r="L26" i="301"/>
  <c r="AI26" i="301" s="1"/>
  <c r="L27" i="301"/>
  <c r="AI27" i="301" s="1"/>
  <c r="L28" i="301"/>
  <c r="AI28" i="301" s="1"/>
  <c r="L29" i="301"/>
  <c r="AI29" i="301" s="1"/>
  <c r="AL29" i="301" s="1"/>
  <c r="L30" i="301"/>
  <c r="AI30" i="301" s="1"/>
  <c r="L31" i="301"/>
  <c r="AI31" i="301" s="1"/>
  <c r="AL31" i="301" s="1"/>
  <c r="L32" i="301"/>
  <c r="AI32" i="301" s="1"/>
  <c r="AL32" i="301" s="1"/>
  <c r="L33" i="301"/>
  <c r="L34" i="301"/>
  <c r="AI34" i="301" s="1"/>
  <c r="AL34" i="301" s="1"/>
  <c r="O55" i="300"/>
  <c r="K13" i="301"/>
  <c r="Y13" i="301" s="1"/>
  <c r="AC13" i="301" s="1"/>
  <c r="K14" i="301"/>
  <c r="Y14" i="301" s="1"/>
  <c r="AB14" i="301" s="1"/>
  <c r="K15" i="301"/>
  <c r="Y15" i="301" s="1"/>
  <c r="AA15" i="301" s="1"/>
  <c r="O9" i="300"/>
  <c r="O10" i="300"/>
  <c r="O11" i="300"/>
  <c r="O12" i="300"/>
  <c r="O13" i="300"/>
  <c r="O15" i="300"/>
  <c r="O14" i="300"/>
  <c r="O43" i="300"/>
  <c r="O44" i="300"/>
  <c r="O45" i="300"/>
  <c r="O46" i="300"/>
  <c r="O47" i="300"/>
  <c r="O48" i="300"/>
  <c r="O49" i="300"/>
  <c r="O50" i="300"/>
  <c r="O51" i="300"/>
  <c r="K21" i="301"/>
  <c r="Y21" i="301" s="1"/>
  <c r="K22" i="301"/>
  <c r="Y22" i="301" s="1"/>
  <c r="K25" i="301"/>
  <c r="Y25" i="301" s="1"/>
  <c r="K26" i="301"/>
  <c r="Y26" i="301" s="1"/>
  <c r="K27" i="301"/>
  <c r="Y27" i="301" s="1"/>
  <c r="K28" i="301"/>
  <c r="Y28" i="301" s="1"/>
  <c r="K29" i="301"/>
  <c r="Y29" i="301" s="1"/>
  <c r="AC29" i="301" s="1"/>
  <c r="K30" i="301"/>
  <c r="K31" i="301"/>
  <c r="Y31" i="301" s="1"/>
  <c r="AC31" i="301" s="1"/>
  <c r="K32" i="301"/>
  <c r="K33" i="301"/>
  <c r="Y33" i="301" s="1"/>
  <c r="AA33" i="301" s="1"/>
  <c r="K34" i="301"/>
  <c r="Y34" i="301" s="1"/>
  <c r="AB34" i="301" s="1"/>
  <c r="P93" i="294"/>
  <c r="P92" i="294"/>
  <c r="P100" i="294"/>
  <c r="P99" i="294"/>
  <c r="J96" i="294"/>
  <c r="K96" i="294"/>
  <c r="J89" i="294"/>
  <c r="P82" i="294"/>
  <c r="P81" i="294"/>
  <c r="P80" i="294"/>
  <c r="P79" i="294"/>
  <c r="P78" i="294"/>
  <c r="G77" i="294"/>
  <c r="H77" i="294"/>
  <c r="I77" i="294"/>
  <c r="J77" i="294"/>
  <c r="K77" i="294"/>
  <c r="L77" i="294"/>
  <c r="M77" i="294"/>
  <c r="N77" i="294"/>
  <c r="O77" i="294"/>
  <c r="P76" i="294"/>
  <c r="P75" i="294"/>
  <c r="P74" i="294"/>
  <c r="P73" i="294"/>
  <c r="P72" i="294"/>
  <c r="G71" i="294"/>
  <c r="H71" i="294"/>
  <c r="I71" i="294"/>
  <c r="J71" i="294"/>
  <c r="K71" i="294"/>
  <c r="L71" i="294"/>
  <c r="M71" i="294"/>
  <c r="N71" i="294"/>
  <c r="O71" i="294"/>
  <c r="P70" i="294"/>
  <c r="P69" i="294"/>
  <c r="P68" i="294"/>
  <c r="P67" i="294"/>
  <c r="P66" i="294"/>
  <c r="G65" i="294"/>
  <c r="H65" i="294"/>
  <c r="I65" i="294"/>
  <c r="J65" i="294"/>
  <c r="K65" i="294"/>
  <c r="L65" i="294"/>
  <c r="M65" i="294"/>
  <c r="N65" i="294"/>
  <c r="O65" i="294"/>
  <c r="H59" i="294"/>
  <c r="G59" i="294"/>
  <c r="H24" i="301"/>
  <c r="I24" i="301" s="1"/>
  <c r="O24" i="301" s="1"/>
  <c r="H13" i="301"/>
  <c r="I13" i="301" s="1"/>
  <c r="H14" i="301"/>
  <c r="I14" i="301" s="1"/>
  <c r="O14" i="301" s="1"/>
  <c r="Q14" i="301" s="1"/>
  <c r="I15" i="301"/>
  <c r="H22" i="301"/>
  <c r="I22" i="301" s="1"/>
  <c r="O22" i="301" s="1"/>
  <c r="H25" i="301"/>
  <c r="I25" i="301" s="1"/>
  <c r="O25" i="301" s="1"/>
  <c r="H26" i="301"/>
  <c r="I26" i="301" s="1"/>
  <c r="O26" i="301" s="1"/>
  <c r="H28" i="301"/>
  <c r="I28" i="301" s="1"/>
  <c r="O28" i="301" s="1"/>
  <c r="H29" i="301"/>
  <c r="I29" i="301" s="1"/>
  <c r="H30" i="301"/>
  <c r="I30" i="301" s="1"/>
  <c r="J30" i="301" s="1"/>
  <c r="H31" i="301"/>
  <c r="I31" i="301" s="1"/>
  <c r="J31" i="301" s="1"/>
  <c r="H32" i="301"/>
  <c r="I32" i="301" s="1"/>
  <c r="H33" i="301"/>
  <c r="H34" i="301"/>
  <c r="I34" i="301" s="1"/>
  <c r="J34" i="301" s="1"/>
  <c r="R16" i="300"/>
  <c r="O16" i="300"/>
  <c r="L14" i="300"/>
  <c r="L15" i="300"/>
  <c r="L16" i="300"/>
  <c r="D24" i="301"/>
  <c r="D13" i="301"/>
  <c r="D14" i="301"/>
  <c r="D15" i="301"/>
  <c r="D21" i="301"/>
  <c r="D22" i="301"/>
  <c r="D25" i="301"/>
  <c r="D26" i="301"/>
  <c r="D27" i="301"/>
  <c r="D28" i="301"/>
  <c r="D29" i="301"/>
  <c r="D30" i="301"/>
  <c r="D31" i="301"/>
  <c r="D32" i="301"/>
  <c r="D33" i="301"/>
  <c r="D34" i="301"/>
  <c r="L24" i="301"/>
  <c r="AI24" i="301" s="1"/>
  <c r="K24" i="301"/>
  <c r="Y24" i="301" s="1"/>
  <c r="L65" i="300"/>
  <c r="R52" i="300"/>
  <c r="O52" i="300"/>
  <c r="L52" i="300"/>
  <c r="I87" i="292"/>
  <c r="I85" i="292"/>
  <c r="I84" i="292"/>
  <c r="L2" i="291"/>
  <c r="K2" i="291"/>
  <c r="E5" i="297"/>
  <c r="D5" i="297"/>
  <c r="H6" i="294"/>
  <c r="G6" i="294"/>
  <c r="G3" i="301"/>
  <c r="F3" i="301"/>
  <c r="J1" i="300"/>
  <c r="B13" i="301"/>
  <c r="J42" i="301"/>
  <c r="E34" i="301"/>
  <c r="F34" i="301" s="1"/>
  <c r="G34" i="301" s="1"/>
  <c r="B34" i="301"/>
  <c r="E33" i="301"/>
  <c r="B33" i="301"/>
  <c r="E32" i="301"/>
  <c r="B32" i="301"/>
  <c r="E31" i="301"/>
  <c r="E30" i="301"/>
  <c r="F30" i="301" s="1"/>
  <c r="G30" i="301" s="1"/>
  <c r="B30" i="301"/>
  <c r="E29" i="301"/>
  <c r="F29" i="301" s="1"/>
  <c r="B29" i="301"/>
  <c r="E28" i="301"/>
  <c r="F28" i="301" s="1"/>
  <c r="G28" i="301" s="1"/>
  <c r="B28" i="301"/>
  <c r="E27" i="301"/>
  <c r="F27" i="301" s="1"/>
  <c r="G27" i="301" s="1"/>
  <c r="B27" i="301"/>
  <c r="E26" i="301"/>
  <c r="F26" i="301" s="1"/>
  <c r="G26" i="301" s="1"/>
  <c r="B26" i="301"/>
  <c r="E25" i="301"/>
  <c r="F25" i="301" s="1"/>
  <c r="G25" i="301" s="1"/>
  <c r="B25" i="301"/>
  <c r="B24" i="301"/>
  <c r="B23" i="301"/>
  <c r="E22" i="301"/>
  <c r="F22" i="301" s="1"/>
  <c r="G22" i="301" s="1"/>
  <c r="B22" i="301"/>
  <c r="E21" i="301"/>
  <c r="F21" i="301" s="1"/>
  <c r="G21" i="301" s="1"/>
  <c r="B21" i="301"/>
  <c r="B20" i="301"/>
  <c r="B19" i="301"/>
  <c r="B16" i="301"/>
  <c r="E15" i="301"/>
  <c r="F15" i="301" s="1"/>
  <c r="B15" i="301"/>
  <c r="E14" i="301"/>
  <c r="F14" i="301" s="1"/>
  <c r="G14" i="301" s="1"/>
  <c r="B14" i="301"/>
  <c r="E13" i="301"/>
  <c r="F13" i="301" s="1"/>
  <c r="G13" i="301" s="1"/>
  <c r="Y30" i="301"/>
  <c r="AB30" i="301" s="1"/>
  <c r="Y32" i="301"/>
  <c r="AB32" i="301" s="1"/>
  <c r="AI33" i="301"/>
  <c r="AK33" i="301" s="1"/>
  <c r="Y35" i="301"/>
  <c r="AB35" i="301" s="1"/>
  <c r="AI35" i="301"/>
  <c r="AK35" i="301" s="1"/>
  <c r="Y36" i="301"/>
  <c r="AA36" i="301" s="1"/>
  <c r="AI36" i="301"/>
  <c r="AL36" i="301" s="1"/>
  <c r="Y37" i="301"/>
  <c r="AB37" i="301" s="1"/>
  <c r="AI37" i="301"/>
  <c r="AK37" i="301" s="1"/>
  <c r="Y38" i="301"/>
  <c r="AB38" i="301" s="1"/>
  <c r="AI38" i="301"/>
  <c r="AL38" i="301" s="1"/>
  <c r="Y39" i="301"/>
  <c r="AB39" i="301" s="1"/>
  <c r="AI39" i="301"/>
  <c r="AK39" i="301" s="1"/>
  <c r="G17" i="297"/>
  <c r="G22" i="297"/>
  <c r="G40" i="297"/>
  <c r="F17" i="297"/>
  <c r="F22" i="297"/>
  <c r="F40" i="297"/>
  <c r="E17" i="297"/>
  <c r="E22" i="297"/>
  <c r="E40" i="297"/>
  <c r="D17" i="297"/>
  <c r="D22" i="297"/>
  <c r="D40" i="297"/>
  <c r="C17" i="297"/>
  <c r="C22" i="297"/>
  <c r="C16" i="297" s="1"/>
  <c r="C52" i="297" s="1"/>
  <c r="C40" i="297"/>
  <c r="D14" i="297"/>
  <c r="C14" i="297"/>
  <c r="G13" i="297"/>
  <c r="F13" i="297"/>
  <c r="E13" i="297"/>
  <c r="G4" i="297"/>
  <c r="P47" i="294"/>
  <c r="P46" i="294"/>
  <c r="J43" i="294"/>
  <c r="J44" i="326" s="1"/>
  <c r="J43" i="326" s="1"/>
  <c r="K43" i="294"/>
  <c r="K44" i="326" s="1"/>
  <c r="K43" i="326" s="1"/>
  <c r="P35" i="294"/>
  <c r="P34" i="294"/>
  <c r="P33" i="294"/>
  <c r="P32" i="294"/>
  <c r="P31" i="294"/>
  <c r="G30" i="294"/>
  <c r="H30" i="294"/>
  <c r="I30" i="294"/>
  <c r="J30" i="294"/>
  <c r="K30" i="294"/>
  <c r="L30" i="294"/>
  <c r="M30" i="294"/>
  <c r="N30" i="294"/>
  <c r="O30" i="294"/>
  <c r="P29" i="294"/>
  <c r="P28" i="294"/>
  <c r="P27" i="294"/>
  <c r="P26" i="294"/>
  <c r="P25" i="294"/>
  <c r="G24" i="294"/>
  <c r="H24" i="294"/>
  <c r="I24" i="294"/>
  <c r="J24" i="294"/>
  <c r="K24" i="294"/>
  <c r="L24" i="294"/>
  <c r="M24" i="294"/>
  <c r="N24" i="294"/>
  <c r="O24" i="294"/>
  <c r="P23" i="294"/>
  <c r="P22" i="294"/>
  <c r="P21" i="294"/>
  <c r="P20" i="294"/>
  <c r="P19" i="294"/>
  <c r="G18" i="294"/>
  <c r="H18" i="294"/>
  <c r="I18" i="294"/>
  <c r="J18" i="294"/>
  <c r="K18" i="294"/>
  <c r="L18" i="294"/>
  <c r="M18" i="294"/>
  <c r="N18" i="294"/>
  <c r="O18" i="294"/>
  <c r="P17" i="294"/>
  <c r="P16" i="294"/>
  <c r="P15" i="294"/>
  <c r="P14" i="294"/>
  <c r="P13" i="294"/>
  <c r="G12" i="294"/>
  <c r="H12" i="294"/>
  <c r="I12" i="294"/>
  <c r="J12" i="294"/>
  <c r="J11" i="294" s="1"/>
  <c r="K12" i="294"/>
  <c r="L12" i="294"/>
  <c r="M12" i="294"/>
  <c r="N12" i="294"/>
  <c r="O12" i="294"/>
  <c r="A30" i="291"/>
  <c r="A29" i="291"/>
  <c r="A28" i="291"/>
  <c r="A27" i="291"/>
  <c r="A25" i="291"/>
  <c r="A26" i="291"/>
  <c r="A21" i="291"/>
  <c r="W5" i="291"/>
  <c r="V5" i="291"/>
  <c r="U5" i="291"/>
  <c r="T5" i="291"/>
  <c r="S5" i="291"/>
  <c r="R5" i="291"/>
  <c r="Q5" i="291"/>
  <c r="P5" i="291"/>
  <c r="O5" i="291"/>
  <c r="N5" i="291"/>
  <c r="M5" i="291"/>
  <c r="U2" i="291"/>
  <c r="O1" i="285"/>
  <c r="O8" i="285"/>
  <c r="N8" i="285"/>
  <c r="M8" i="285"/>
  <c r="K8" i="285"/>
  <c r="L8" i="285"/>
  <c r="J8" i="285"/>
  <c r="H6" i="285"/>
  <c r="A2" i="285"/>
  <c r="I6" i="285"/>
  <c r="H575" i="292"/>
  <c r="I575" i="292" s="1"/>
  <c r="H574" i="292"/>
  <c r="I574" i="292" s="1"/>
  <c r="H573" i="292"/>
  <c r="I573" i="292" s="1"/>
  <c r="H572" i="292"/>
  <c r="I572" i="292"/>
  <c r="H571" i="292"/>
  <c r="I571" i="292" s="1"/>
  <c r="H570" i="292"/>
  <c r="I570" i="292" s="1"/>
  <c r="H569" i="292"/>
  <c r="I569" i="292" s="1"/>
  <c r="H568" i="292"/>
  <c r="I568" i="292" s="1"/>
  <c r="H567" i="292"/>
  <c r="I567" i="292" s="1"/>
  <c r="H566" i="292"/>
  <c r="I566" i="292" s="1"/>
  <c r="H565" i="292"/>
  <c r="I565" i="292" s="1"/>
  <c r="H564" i="292"/>
  <c r="I564" i="292" s="1"/>
  <c r="H563" i="292"/>
  <c r="I563" i="292" s="1"/>
  <c r="H562" i="292"/>
  <c r="I562" i="292" s="1"/>
  <c r="H561" i="292"/>
  <c r="I561" i="292" s="1"/>
  <c r="H560" i="292"/>
  <c r="I560" i="292" s="1"/>
  <c r="H559" i="292"/>
  <c r="I559" i="292" s="1"/>
  <c r="H558" i="292"/>
  <c r="I558" i="292" s="1"/>
  <c r="H557" i="292"/>
  <c r="I557" i="292" s="1"/>
  <c r="H556" i="292"/>
  <c r="I556" i="292" s="1"/>
  <c r="H555" i="292"/>
  <c r="I555" i="292" s="1"/>
  <c r="H554" i="292"/>
  <c r="I554" i="292" s="1"/>
  <c r="H553" i="292"/>
  <c r="I553" i="292" s="1"/>
  <c r="H552" i="292"/>
  <c r="I552" i="292" s="1"/>
  <c r="H551" i="292"/>
  <c r="I551" i="292" s="1"/>
  <c r="H550" i="292"/>
  <c r="I550" i="292" s="1"/>
  <c r="H549" i="292"/>
  <c r="I549" i="292" s="1"/>
  <c r="H548" i="292"/>
  <c r="I548" i="292" s="1"/>
  <c r="H547" i="292"/>
  <c r="I547" i="292" s="1"/>
  <c r="H546" i="292"/>
  <c r="I546" i="292" s="1"/>
  <c r="H545" i="292"/>
  <c r="I545" i="292" s="1"/>
  <c r="H544" i="292"/>
  <c r="I544" i="292" s="1"/>
  <c r="H543" i="292"/>
  <c r="I543" i="292" s="1"/>
  <c r="H542" i="292"/>
  <c r="I542" i="292" s="1"/>
  <c r="H541" i="292"/>
  <c r="I541" i="292" s="1"/>
  <c r="H540" i="292"/>
  <c r="I540" i="292" s="1"/>
  <c r="H539" i="292"/>
  <c r="I539" i="292" s="1"/>
  <c r="H538" i="292"/>
  <c r="I538" i="292" s="1"/>
  <c r="H537" i="292"/>
  <c r="I537" i="292" s="1"/>
  <c r="H536" i="292"/>
  <c r="I536" i="292" s="1"/>
  <c r="H535" i="292"/>
  <c r="I535" i="292" s="1"/>
  <c r="H534" i="292"/>
  <c r="I534" i="292" s="1"/>
  <c r="H533" i="292"/>
  <c r="I533" i="292" s="1"/>
  <c r="H532" i="292"/>
  <c r="I532" i="292" s="1"/>
  <c r="H531" i="292"/>
  <c r="I531" i="292" s="1"/>
  <c r="H530" i="292"/>
  <c r="I530" i="292" s="1"/>
  <c r="H529" i="292"/>
  <c r="I529" i="292" s="1"/>
  <c r="H528" i="292"/>
  <c r="I528" i="292" s="1"/>
  <c r="H527" i="292"/>
  <c r="I527" i="292" s="1"/>
  <c r="H526" i="292"/>
  <c r="I526" i="292" s="1"/>
  <c r="H525" i="292"/>
  <c r="I525" i="292" s="1"/>
  <c r="H524" i="292"/>
  <c r="I524" i="292" s="1"/>
  <c r="H523" i="292"/>
  <c r="I523" i="292" s="1"/>
  <c r="H522" i="292"/>
  <c r="I522" i="292" s="1"/>
  <c r="H521" i="292"/>
  <c r="I521" i="292" s="1"/>
  <c r="H520" i="292"/>
  <c r="I520" i="292" s="1"/>
  <c r="H519" i="292"/>
  <c r="I519" i="292" s="1"/>
  <c r="H518" i="292"/>
  <c r="I518" i="292" s="1"/>
  <c r="H517" i="292"/>
  <c r="I517" i="292" s="1"/>
  <c r="H516" i="292"/>
  <c r="I516" i="292" s="1"/>
  <c r="H515" i="292"/>
  <c r="I515" i="292" s="1"/>
  <c r="H514" i="292"/>
  <c r="I514" i="292" s="1"/>
  <c r="H513" i="292"/>
  <c r="I513" i="292" s="1"/>
  <c r="H512" i="292"/>
  <c r="I512" i="292" s="1"/>
  <c r="H511" i="292"/>
  <c r="I511" i="292" s="1"/>
  <c r="H510" i="292"/>
  <c r="I510" i="292" s="1"/>
  <c r="H509" i="292"/>
  <c r="I509" i="292" s="1"/>
  <c r="H508" i="292"/>
  <c r="I508" i="292" s="1"/>
  <c r="H507" i="292"/>
  <c r="I507" i="292" s="1"/>
  <c r="H506" i="292"/>
  <c r="I506" i="292" s="1"/>
  <c r="H505" i="292"/>
  <c r="I505" i="292" s="1"/>
  <c r="H504" i="292"/>
  <c r="I504" i="292" s="1"/>
  <c r="H503" i="292"/>
  <c r="I503" i="292" s="1"/>
  <c r="H502" i="292"/>
  <c r="I502" i="292" s="1"/>
  <c r="H501" i="292"/>
  <c r="I501" i="292" s="1"/>
  <c r="H500" i="292"/>
  <c r="I500" i="292" s="1"/>
  <c r="H499" i="292"/>
  <c r="I499" i="292" s="1"/>
  <c r="H498" i="292"/>
  <c r="I498" i="292" s="1"/>
  <c r="H497" i="292"/>
  <c r="I497" i="292" s="1"/>
  <c r="H496" i="292"/>
  <c r="I496" i="292" s="1"/>
  <c r="H495" i="292"/>
  <c r="I495" i="292" s="1"/>
  <c r="H494" i="292"/>
  <c r="I494" i="292" s="1"/>
  <c r="H493" i="292"/>
  <c r="I493" i="292" s="1"/>
  <c r="H492" i="292"/>
  <c r="I492" i="292" s="1"/>
  <c r="H491" i="292"/>
  <c r="I491" i="292" s="1"/>
  <c r="H490" i="292"/>
  <c r="I490" i="292" s="1"/>
  <c r="K489" i="292"/>
  <c r="E478" i="292"/>
  <c r="G478" i="292" s="1"/>
  <c r="H115" i="292"/>
  <c r="H478" i="292" s="1"/>
  <c r="I478" i="292" s="1"/>
  <c r="E477" i="292"/>
  <c r="G477" i="292" s="1"/>
  <c r="H116" i="292"/>
  <c r="H477" i="292" s="1"/>
  <c r="E476" i="292"/>
  <c r="G476" i="292" s="1"/>
  <c r="H117" i="292"/>
  <c r="H476" i="292" s="1"/>
  <c r="I476" i="292" s="1"/>
  <c r="M473" i="292"/>
  <c r="N473" i="292" s="1"/>
  <c r="M472" i="292"/>
  <c r="N472" i="292" s="1"/>
  <c r="M471" i="292"/>
  <c r="N471" i="292" s="1"/>
  <c r="M470" i="292"/>
  <c r="N470" i="292" s="1"/>
  <c r="M469" i="292"/>
  <c r="N469" i="292" s="1"/>
  <c r="M468" i="292"/>
  <c r="N468" i="292" s="1"/>
  <c r="M467" i="292"/>
  <c r="N467" i="292" s="1"/>
  <c r="H464" i="292"/>
  <c r="I464" i="292" s="1"/>
  <c r="H463" i="292"/>
  <c r="I463" i="292" s="1"/>
  <c r="H462" i="292"/>
  <c r="I462" i="292" s="1"/>
  <c r="H461" i="292"/>
  <c r="I461" i="292" s="1"/>
  <c r="E458" i="292"/>
  <c r="H458" i="292" s="1"/>
  <c r="E457" i="292"/>
  <c r="E456" i="292"/>
  <c r="E448" i="292"/>
  <c r="H448" i="292" s="1"/>
  <c r="I448" i="292" s="1"/>
  <c r="E445" i="292"/>
  <c r="E444" i="292"/>
  <c r="H444" i="292" s="1"/>
  <c r="I444" i="292" s="1"/>
  <c r="E441" i="292"/>
  <c r="E440" i="292"/>
  <c r="H440" i="292" s="1"/>
  <c r="E437" i="292"/>
  <c r="H437" i="292" s="1"/>
  <c r="E436" i="292"/>
  <c r="E433" i="292"/>
  <c r="E431" i="292"/>
  <c r="H431" i="292" s="1"/>
  <c r="E428" i="292"/>
  <c r="E420" i="292"/>
  <c r="H420" i="292" s="1"/>
  <c r="E417" i="292"/>
  <c r="E414" i="292"/>
  <c r="H414" i="292" s="1"/>
  <c r="I414" i="292" s="1"/>
  <c r="E412" i="292"/>
  <c r="H412" i="292" s="1"/>
  <c r="I412" i="292" s="1"/>
  <c r="E410" i="292"/>
  <c r="E408" i="292"/>
  <c r="H408" i="292" s="1"/>
  <c r="E407" i="292"/>
  <c r="H407" i="292" s="1"/>
  <c r="I407" i="292" s="1"/>
  <c r="E406" i="292"/>
  <c r="H406" i="292" s="1"/>
  <c r="E404" i="292"/>
  <c r="H404" i="292" s="1"/>
  <c r="I404" i="292" s="1"/>
  <c r="H400" i="292"/>
  <c r="I400" i="292" s="1"/>
  <c r="H399" i="292"/>
  <c r="I399" i="292" s="1"/>
  <c r="M398" i="292"/>
  <c r="N398" i="292" s="1"/>
  <c r="E398" i="292"/>
  <c r="J397" i="292"/>
  <c r="E397" i="292"/>
  <c r="J396" i="292"/>
  <c r="E396" i="292"/>
  <c r="J395" i="292"/>
  <c r="E395" i="292"/>
  <c r="J394" i="292"/>
  <c r="E394" i="292"/>
  <c r="J393" i="292"/>
  <c r="E393" i="292"/>
  <c r="J392" i="292"/>
  <c r="E392" i="292"/>
  <c r="J391" i="292"/>
  <c r="E391" i="292"/>
  <c r="J390" i="292"/>
  <c r="M389" i="292"/>
  <c r="N389" i="292" s="1"/>
  <c r="E389" i="292"/>
  <c r="M388" i="292"/>
  <c r="N388" i="292" s="1"/>
  <c r="E388" i="292"/>
  <c r="M387" i="292"/>
  <c r="N387" i="292" s="1"/>
  <c r="E387" i="292"/>
  <c r="M386" i="292"/>
  <c r="N386" i="292" s="1"/>
  <c r="E386" i="292"/>
  <c r="D386" i="292"/>
  <c r="M385" i="292"/>
  <c r="N385" i="292" s="1"/>
  <c r="E385" i="292"/>
  <c r="J384" i="292"/>
  <c r="E384" i="292"/>
  <c r="J383" i="292"/>
  <c r="E383" i="292"/>
  <c r="J382" i="292"/>
  <c r="E382" i="292"/>
  <c r="J381" i="292"/>
  <c r="E381" i="292"/>
  <c r="J380" i="292"/>
  <c r="E380" i="292"/>
  <c r="M378" i="292"/>
  <c r="N378" i="292" s="1"/>
  <c r="E378" i="292"/>
  <c r="M377" i="292"/>
  <c r="N377" i="292" s="1"/>
  <c r="E377" i="292"/>
  <c r="M376" i="292"/>
  <c r="N376" i="292" s="1"/>
  <c r="E376" i="292"/>
  <c r="M375" i="292"/>
  <c r="N375" i="292" s="1"/>
  <c r="E375" i="292"/>
  <c r="M374" i="292"/>
  <c r="N374" i="292" s="1"/>
  <c r="E374" i="292"/>
  <c r="J373" i="292"/>
  <c r="M373" i="292" s="1"/>
  <c r="N373" i="292" s="1"/>
  <c r="E373" i="292"/>
  <c r="J372" i="292"/>
  <c r="E372" i="292"/>
  <c r="J371" i="292"/>
  <c r="E371" i="292"/>
  <c r="J370" i="292"/>
  <c r="E370" i="292"/>
  <c r="J369" i="292"/>
  <c r="E369" i="292"/>
  <c r="J368" i="292"/>
  <c r="E368" i="292"/>
  <c r="J367" i="292"/>
  <c r="M367" i="292" s="1"/>
  <c r="N367" i="292" s="1"/>
  <c r="E367" i="292"/>
  <c r="M365" i="292"/>
  <c r="N365" i="292" s="1"/>
  <c r="E365" i="292"/>
  <c r="M364" i="292"/>
  <c r="N364" i="292" s="1"/>
  <c r="E364" i="292"/>
  <c r="J363" i="292"/>
  <c r="M363" i="292" s="1"/>
  <c r="E363" i="292"/>
  <c r="M362" i="292"/>
  <c r="N362" i="292" s="1"/>
  <c r="M361" i="292"/>
  <c r="N361" i="292" s="1"/>
  <c r="D359" i="292"/>
  <c r="D360" i="292" s="1"/>
  <c r="D361" i="292" s="1"/>
  <c r="M360" i="292"/>
  <c r="N360" i="292" s="1"/>
  <c r="M359" i="292"/>
  <c r="N359" i="292" s="1"/>
  <c r="M358" i="292"/>
  <c r="N358" i="292" s="1"/>
  <c r="J357" i="292"/>
  <c r="E357" i="292"/>
  <c r="J356" i="292"/>
  <c r="E356" i="292"/>
  <c r="J355" i="292"/>
  <c r="E355" i="292"/>
  <c r="J354" i="292"/>
  <c r="E354" i="292"/>
  <c r="J353" i="292"/>
  <c r="E353" i="292"/>
  <c r="J352" i="292"/>
  <c r="E352" i="292"/>
  <c r="J351" i="292"/>
  <c r="E351" i="292"/>
  <c r="J350" i="292"/>
  <c r="E350" i="292"/>
  <c r="M347" i="292"/>
  <c r="N347" i="292" s="1"/>
  <c r="M346" i="292"/>
  <c r="N346" i="292" s="1"/>
  <c r="M345" i="292"/>
  <c r="N345" i="292" s="1"/>
  <c r="M344" i="292"/>
  <c r="N344" i="292" s="1"/>
  <c r="M343" i="292"/>
  <c r="N343" i="292" s="1"/>
  <c r="M342" i="292"/>
  <c r="N342" i="292" s="1"/>
  <c r="M341" i="292"/>
  <c r="N341" i="292" s="1"/>
  <c r="M338" i="292"/>
  <c r="N338" i="292" s="1"/>
  <c r="E338" i="292"/>
  <c r="M337" i="292"/>
  <c r="N337" i="292" s="1"/>
  <c r="E337" i="292"/>
  <c r="M336" i="292"/>
  <c r="N336" i="292" s="1"/>
  <c r="E336" i="292"/>
  <c r="M335" i="292"/>
  <c r="N335" i="292" s="1"/>
  <c r="E335" i="292"/>
  <c r="M334" i="292"/>
  <c r="N334" i="292" s="1"/>
  <c r="E334" i="292"/>
  <c r="M333" i="292"/>
  <c r="N333" i="292" s="1"/>
  <c r="E333" i="292"/>
  <c r="M332" i="292"/>
  <c r="N332" i="292" s="1"/>
  <c r="E332" i="292"/>
  <c r="M331" i="292"/>
  <c r="N331" i="292" s="1"/>
  <c r="E331" i="292"/>
  <c r="M330" i="292"/>
  <c r="N330" i="292" s="1"/>
  <c r="E330" i="292"/>
  <c r="M329" i="292"/>
  <c r="N329" i="292" s="1"/>
  <c r="E329" i="292"/>
  <c r="M328" i="292"/>
  <c r="N328" i="292" s="1"/>
  <c r="E328" i="292"/>
  <c r="M327" i="292"/>
  <c r="N327" i="292" s="1"/>
  <c r="E327" i="292"/>
  <c r="M326" i="292"/>
  <c r="N326" i="292" s="1"/>
  <c r="E326" i="292"/>
  <c r="M325" i="292"/>
  <c r="N325" i="292" s="1"/>
  <c r="E325" i="292"/>
  <c r="M324" i="292"/>
  <c r="N324" i="292" s="1"/>
  <c r="E324" i="292"/>
  <c r="M323" i="292"/>
  <c r="N323" i="292" s="1"/>
  <c r="E323" i="292"/>
  <c r="M322" i="292"/>
  <c r="N322" i="292" s="1"/>
  <c r="E322" i="292"/>
  <c r="M321" i="292"/>
  <c r="N321" i="292" s="1"/>
  <c r="E321" i="292"/>
  <c r="N306" i="292"/>
  <c r="H303" i="292"/>
  <c r="I303" i="292" s="1"/>
  <c r="H302" i="292"/>
  <c r="I302" i="292" s="1"/>
  <c r="H301" i="292"/>
  <c r="I301" i="292" s="1"/>
  <c r="H300" i="292"/>
  <c r="I300" i="292" s="1"/>
  <c r="H299" i="292"/>
  <c r="I299" i="292" s="1"/>
  <c r="H298" i="292"/>
  <c r="I298" i="292" s="1"/>
  <c r="H297" i="292"/>
  <c r="I297" i="292" s="1"/>
  <c r="H296" i="292"/>
  <c r="I296" i="292" s="1"/>
  <c r="H295" i="292"/>
  <c r="I295" i="292" s="1"/>
  <c r="H294" i="292"/>
  <c r="I294" i="292" s="1"/>
  <c r="H293" i="292"/>
  <c r="I293" i="292" s="1"/>
  <c r="H291" i="292"/>
  <c r="I291" i="292" s="1"/>
  <c r="H290" i="292"/>
  <c r="I290" i="292" s="1"/>
  <c r="H289" i="292"/>
  <c r="I289" i="292" s="1"/>
  <c r="H288" i="292"/>
  <c r="I288" i="292"/>
  <c r="H287" i="292"/>
  <c r="I287" i="292" s="1"/>
  <c r="H286" i="292"/>
  <c r="I286" i="292" s="1"/>
  <c r="H285" i="292"/>
  <c r="I285" i="292" s="1"/>
  <c r="H284" i="292"/>
  <c r="I284" i="292" s="1"/>
  <c r="H283" i="292"/>
  <c r="I283" i="292" s="1"/>
  <c r="H281" i="292"/>
  <c r="I281" i="292" s="1"/>
  <c r="H280" i="292"/>
  <c r="I280" i="292" s="1"/>
  <c r="H279" i="292"/>
  <c r="I279" i="292" s="1"/>
  <c r="H278" i="292"/>
  <c r="I278" i="292" s="1"/>
  <c r="H277" i="292"/>
  <c r="I277" i="292" s="1"/>
  <c r="H276" i="292"/>
  <c r="I276" i="292" s="1"/>
  <c r="H275" i="292"/>
  <c r="I275" i="292" s="1"/>
  <c r="H274" i="292"/>
  <c r="I274" i="292" s="1"/>
  <c r="H271" i="292"/>
  <c r="I271" i="292" s="1"/>
  <c r="H270" i="292"/>
  <c r="I270" i="292" s="1"/>
  <c r="H269" i="292"/>
  <c r="I269" i="292" s="1"/>
  <c r="H268" i="292"/>
  <c r="I268" i="292" s="1"/>
  <c r="H267" i="292"/>
  <c r="I267" i="292" s="1"/>
  <c r="H266" i="292"/>
  <c r="I266" i="292" s="1"/>
  <c r="H265" i="292"/>
  <c r="I265" i="292" s="1"/>
  <c r="H264" i="292"/>
  <c r="I264" i="292" s="1"/>
  <c r="H263" i="292"/>
  <c r="I263" i="292" s="1"/>
  <c r="M258" i="292"/>
  <c r="N258" i="292" s="1"/>
  <c r="H258" i="292"/>
  <c r="I258" i="292" s="1"/>
  <c r="M257" i="292"/>
  <c r="N257" i="292" s="1"/>
  <c r="H257" i="292"/>
  <c r="I257" i="292" s="1"/>
  <c r="M256" i="292"/>
  <c r="N256" i="292" s="1"/>
  <c r="H256" i="292"/>
  <c r="I256" i="292" s="1"/>
  <c r="M255" i="292"/>
  <c r="N255" i="292" s="1"/>
  <c r="H255" i="292"/>
  <c r="I255" i="292" s="1"/>
  <c r="M254" i="292"/>
  <c r="N254" i="292" s="1"/>
  <c r="H254" i="292"/>
  <c r="I254" i="292" s="1"/>
  <c r="M252" i="292"/>
  <c r="N252" i="292" s="1"/>
  <c r="H252" i="292"/>
  <c r="I252" i="292" s="1"/>
  <c r="M251" i="292"/>
  <c r="N251" i="292" s="1"/>
  <c r="H251" i="292"/>
  <c r="I251" i="292" s="1"/>
  <c r="M250" i="292"/>
  <c r="N250" i="292" s="1"/>
  <c r="H250" i="292"/>
  <c r="I250" i="292" s="1"/>
  <c r="H249" i="292"/>
  <c r="I249" i="292" s="1"/>
  <c r="M248" i="292"/>
  <c r="N248" i="292" s="1"/>
  <c r="H248" i="292"/>
  <c r="I248" i="292" s="1"/>
  <c r="M247" i="292"/>
  <c r="N247" i="292" s="1"/>
  <c r="H247" i="292"/>
  <c r="I247" i="292" s="1"/>
  <c r="M246" i="292"/>
  <c r="N246" i="292" s="1"/>
  <c r="H246" i="292"/>
  <c r="I246" i="292" s="1"/>
  <c r="H244" i="292"/>
  <c r="I244" i="292" s="1"/>
  <c r="H243" i="292"/>
  <c r="I243" i="292" s="1"/>
  <c r="L238" i="292"/>
  <c r="H238" i="292"/>
  <c r="I238" i="292" s="1"/>
  <c r="L237" i="292"/>
  <c r="H237" i="292"/>
  <c r="I237" i="292" s="1"/>
  <c r="L236" i="292"/>
  <c r="H236" i="292"/>
  <c r="I236" i="292" s="1"/>
  <c r="L235" i="292"/>
  <c r="H235" i="292"/>
  <c r="I235" i="292" s="1"/>
  <c r="L234" i="292"/>
  <c r="H234" i="292"/>
  <c r="I234" i="292" s="1"/>
  <c r="L233" i="292"/>
  <c r="H233" i="292"/>
  <c r="I233" i="292" s="1"/>
  <c r="L232" i="292"/>
  <c r="H232" i="292"/>
  <c r="I232" i="292" s="1"/>
  <c r="L231" i="292"/>
  <c r="H231" i="292"/>
  <c r="I231" i="292" s="1"/>
  <c r="L230" i="292"/>
  <c r="H230" i="292"/>
  <c r="I230" i="292" s="1"/>
  <c r="L229" i="292"/>
  <c r="H229" i="292"/>
  <c r="I229" i="292" s="1"/>
  <c r="L228" i="292"/>
  <c r="H228" i="292"/>
  <c r="I228" i="292" s="1"/>
  <c r="L227" i="292"/>
  <c r="H227" i="292"/>
  <c r="I227" i="292" s="1"/>
  <c r="H225" i="292"/>
  <c r="I225" i="292" s="1"/>
  <c r="H224" i="292"/>
  <c r="I224" i="292" s="1"/>
  <c r="H223" i="292"/>
  <c r="I223" i="292" s="1"/>
  <c r="H222" i="292"/>
  <c r="I222" i="292" s="1"/>
  <c r="H221" i="292"/>
  <c r="I221" i="292" s="1"/>
  <c r="H220" i="292"/>
  <c r="I220" i="292" s="1"/>
  <c r="H219" i="292"/>
  <c r="I219" i="292" s="1"/>
  <c r="H218" i="292"/>
  <c r="I218" i="292" s="1"/>
  <c r="H217" i="292"/>
  <c r="I217" i="292" s="1"/>
  <c r="H216" i="292"/>
  <c r="I216" i="292" s="1"/>
  <c r="H215" i="292"/>
  <c r="I215" i="292" s="1"/>
  <c r="H214" i="292"/>
  <c r="I214" i="292" s="1"/>
  <c r="H213" i="292"/>
  <c r="I213" i="292" s="1"/>
  <c r="H212" i="292"/>
  <c r="I212" i="292" s="1"/>
  <c r="H211" i="292"/>
  <c r="I211" i="292" s="1"/>
  <c r="H210" i="292"/>
  <c r="I210" i="292" s="1"/>
  <c r="H209" i="292"/>
  <c r="I209" i="292" s="1"/>
  <c r="H208" i="292"/>
  <c r="I208" i="292" s="1"/>
  <c r="H207" i="292"/>
  <c r="I207" i="292" s="1"/>
  <c r="H206" i="292"/>
  <c r="I206" i="292" s="1"/>
  <c r="H205" i="292"/>
  <c r="I205" i="292" s="1"/>
  <c r="H204" i="292"/>
  <c r="I204" i="292" s="1"/>
  <c r="H203" i="292"/>
  <c r="I203" i="292" s="1"/>
  <c r="J200" i="292"/>
  <c r="K200" i="292"/>
  <c r="L200" i="292"/>
  <c r="E200" i="292"/>
  <c r="J199" i="292"/>
  <c r="K199" i="292"/>
  <c r="L199" i="292"/>
  <c r="E199" i="292"/>
  <c r="J198" i="292"/>
  <c r="K198" i="292"/>
  <c r="L198" i="292"/>
  <c r="E198" i="292"/>
  <c r="J197" i="292"/>
  <c r="K197" i="292"/>
  <c r="L197" i="292"/>
  <c r="E197" i="292"/>
  <c r="H195" i="292"/>
  <c r="I195" i="292" s="1"/>
  <c r="H194" i="292"/>
  <c r="I194" i="292" s="1"/>
  <c r="H193" i="292"/>
  <c r="I193" i="292" s="1"/>
  <c r="H192" i="292"/>
  <c r="I192" i="292" s="1"/>
  <c r="H191" i="292"/>
  <c r="I191" i="292" s="1"/>
  <c r="H190" i="292"/>
  <c r="I190" i="292" s="1"/>
  <c r="H189" i="292"/>
  <c r="I189" i="292" s="1"/>
  <c r="H188" i="292"/>
  <c r="I188" i="292" s="1"/>
  <c r="H187" i="292"/>
  <c r="I187" i="292" s="1"/>
  <c r="H186" i="292"/>
  <c r="I186" i="292" s="1"/>
  <c r="H185" i="292"/>
  <c r="I185" i="292" s="1"/>
  <c r="H184" i="292"/>
  <c r="I184" i="292" s="1"/>
  <c r="H183" i="292"/>
  <c r="I183" i="292" s="1"/>
  <c r="H182" i="292"/>
  <c r="I182" i="292" s="1"/>
  <c r="M179" i="292"/>
  <c r="N179" i="292" s="1"/>
  <c r="M178" i="292"/>
  <c r="N178" i="292" s="1"/>
  <c r="M177" i="292"/>
  <c r="N177" i="292" s="1"/>
  <c r="M176" i="292"/>
  <c r="N176" i="292" s="1"/>
  <c r="M175" i="292"/>
  <c r="N175" i="292" s="1"/>
  <c r="M174" i="292"/>
  <c r="N174" i="292" s="1"/>
  <c r="M173" i="292"/>
  <c r="N173" i="292" s="1"/>
  <c r="M172" i="292"/>
  <c r="N172" i="292" s="1"/>
  <c r="M171" i="292"/>
  <c r="N171" i="292" s="1"/>
  <c r="M170" i="292"/>
  <c r="N170" i="292" s="1"/>
  <c r="M169" i="292"/>
  <c r="N169" i="292" s="1"/>
  <c r="M168" i="292"/>
  <c r="N168" i="292" s="1"/>
  <c r="M167" i="292"/>
  <c r="N167" i="292" s="1"/>
  <c r="M166" i="292"/>
  <c r="N166" i="292" s="1"/>
  <c r="M165" i="292"/>
  <c r="N165" i="292" s="1"/>
  <c r="M128" i="292"/>
  <c r="N128" i="292" s="1"/>
  <c r="M127" i="292"/>
  <c r="N127" i="292" s="1"/>
  <c r="M126" i="292"/>
  <c r="N126" i="292" s="1"/>
  <c r="M125" i="292"/>
  <c r="N125" i="292" s="1"/>
  <c r="M124" i="292"/>
  <c r="N124" i="292" s="1"/>
  <c r="M123" i="292"/>
  <c r="N123" i="292" s="1"/>
  <c r="M122" i="292"/>
  <c r="N122" i="292" s="1"/>
  <c r="H120" i="292"/>
  <c r="I120" i="292" s="1"/>
  <c r="H119" i="292"/>
  <c r="I119" i="292" s="1"/>
  <c r="H118" i="292"/>
  <c r="I118" i="292" s="1"/>
  <c r="I115" i="292"/>
  <c r="H114" i="292"/>
  <c r="I114" i="292" s="1"/>
  <c r="H113" i="292"/>
  <c r="I113" i="292" s="1"/>
  <c r="H112" i="292"/>
  <c r="I112" i="292" s="1"/>
  <c r="H111" i="292"/>
  <c r="I111" i="292" s="1"/>
  <c r="I71" i="292"/>
  <c r="M35" i="292"/>
  <c r="M65" i="292" s="1"/>
  <c r="M45" i="292"/>
  <c r="N45" i="292" s="1"/>
  <c r="M39" i="292"/>
  <c r="AM39" i="301"/>
  <c r="AC39" i="301"/>
  <c r="AC37" i="301"/>
  <c r="AC35" i="301"/>
  <c r="H80" i="292"/>
  <c r="N35" i="292"/>
  <c r="M36" i="292"/>
  <c r="N36" i="292" s="1"/>
  <c r="M38" i="292"/>
  <c r="N38" i="292" s="1"/>
  <c r="M40" i="292"/>
  <c r="N40" i="292" s="1"/>
  <c r="M42" i="292"/>
  <c r="N42" i="292" s="1"/>
  <c r="M44" i="292"/>
  <c r="N44" i="292" s="1"/>
  <c r="M48" i="292"/>
  <c r="N48" i="292" s="1"/>
  <c r="M50" i="292"/>
  <c r="N50" i="292" s="1"/>
  <c r="M52" i="292"/>
  <c r="N52" i="292" s="1"/>
  <c r="M54" i="292"/>
  <c r="N54" i="292" s="1"/>
  <c r="M55" i="292"/>
  <c r="N55" i="292" s="1"/>
  <c r="M57" i="292"/>
  <c r="N57" i="292" s="1"/>
  <c r="M59" i="292"/>
  <c r="N59" i="292" s="1"/>
  <c r="M61" i="292"/>
  <c r="N61" i="292" s="1"/>
  <c r="M63" i="292"/>
  <c r="N63" i="292" s="1"/>
  <c r="H79" i="292"/>
  <c r="H78" i="292"/>
  <c r="H77" i="292"/>
  <c r="H74" i="292"/>
  <c r="H73" i="292"/>
  <c r="M133" i="292"/>
  <c r="M137" i="292"/>
  <c r="M139" i="292"/>
  <c r="M141" i="292"/>
  <c r="L17" i="300"/>
  <c r="H76" i="292"/>
  <c r="H75" i="292"/>
  <c r="I75" i="292" s="1"/>
  <c r="H72" i="292"/>
  <c r="I72" i="292" s="1"/>
  <c r="M135" i="292"/>
  <c r="M138" i="292"/>
  <c r="M140" i="292"/>
  <c r="F56" i="300"/>
  <c r="F71" i="300" s="1"/>
  <c r="D20" i="301" s="1"/>
  <c r="F10" i="300"/>
  <c r="H17" i="300"/>
  <c r="I95" i="292"/>
  <c r="I97" i="292"/>
  <c r="I99" i="292"/>
  <c r="I101" i="292"/>
  <c r="I105" i="292"/>
  <c r="I107" i="292"/>
  <c r="N131" i="292"/>
  <c r="N153" i="292"/>
  <c r="N148" i="292"/>
  <c r="N144" i="292"/>
  <c r="N159" i="292"/>
  <c r="N78" i="292"/>
  <c r="N74" i="292"/>
  <c r="E17" i="300"/>
  <c r="E71" i="300"/>
  <c r="H53" i="300"/>
  <c r="H71" i="300"/>
  <c r="N138" i="292"/>
  <c r="I79" i="292"/>
  <c r="M368" i="292"/>
  <c r="N368" i="292" s="1"/>
  <c r="M370" i="292"/>
  <c r="N370" i="292" s="1"/>
  <c r="M372" i="292"/>
  <c r="N372" i="292" s="1"/>
  <c r="H417" i="292"/>
  <c r="I417" i="292" s="1"/>
  <c r="H428" i="292"/>
  <c r="I428" i="292" s="1"/>
  <c r="H433" i="292"/>
  <c r="I433" i="292" s="1"/>
  <c r="H456" i="292"/>
  <c r="I456" i="292" s="1"/>
  <c r="AA39" i="301"/>
  <c r="AL37" i="301"/>
  <c r="AA37" i="301"/>
  <c r="AA35" i="301"/>
  <c r="M369" i="292"/>
  <c r="N369" i="292" s="1"/>
  <c r="M371" i="292"/>
  <c r="N371" i="292" s="1"/>
  <c r="H91" i="292"/>
  <c r="I91" i="292" s="1"/>
  <c r="H92" i="292"/>
  <c r="I92" i="292" s="1"/>
  <c r="N162" i="292"/>
  <c r="N158" i="292"/>
  <c r="N77" i="292"/>
  <c r="N73" i="292"/>
  <c r="AA32" i="301"/>
  <c r="AA29" i="301"/>
  <c r="I33" i="301"/>
  <c r="J33" i="301" s="1"/>
  <c r="N156" i="292"/>
  <c r="N143" i="292"/>
  <c r="N152" i="292"/>
  <c r="AA34" i="301"/>
  <c r="AC34" i="301"/>
  <c r="AM31" i="301"/>
  <c r="AC33" i="301"/>
  <c r="J24" i="301"/>
  <c r="J22" i="301"/>
  <c r="AM34" i="301"/>
  <c r="J32" i="301"/>
  <c r="AM32" i="301"/>
  <c r="J28" i="301"/>
  <c r="AK29" i="301"/>
  <c r="AM29" i="301"/>
  <c r="J21" i="301"/>
  <c r="J15" i="301"/>
  <c r="O15" i="301"/>
  <c r="R15" i="301" s="1"/>
  <c r="AB13" i="301"/>
  <c r="AA13" i="301"/>
  <c r="AA14" i="301"/>
  <c r="I90" i="292"/>
  <c r="N134" i="292"/>
  <c r="G3" i="300" l="1"/>
  <c r="M47" i="292"/>
  <c r="M199" i="292"/>
  <c r="N199" i="292" s="1"/>
  <c r="M200" i="292"/>
  <c r="N200" i="292" s="1"/>
  <c r="C81" i="325"/>
  <c r="C94" i="325" s="1"/>
  <c r="J12" i="326"/>
  <c r="N81" i="325"/>
  <c r="N94" i="325" s="1"/>
  <c r="F81" i="325"/>
  <c r="F94" i="325" s="1"/>
  <c r="E81" i="325"/>
  <c r="E94" i="325" s="1"/>
  <c r="G81" i="325"/>
  <c r="H81" i="325"/>
  <c r="L81" i="325"/>
  <c r="L94" i="325" s="1"/>
  <c r="J81" i="325"/>
  <c r="J94" i="325" s="1"/>
  <c r="D81" i="325"/>
  <c r="D94" i="325" s="1"/>
  <c r="I81" i="325"/>
  <c r="K81" i="325"/>
  <c r="K94" i="325" s="1"/>
  <c r="M81" i="325"/>
  <c r="M94" i="325" s="1"/>
  <c r="L71" i="300"/>
  <c r="H20" i="301" s="1"/>
  <c r="L53" i="300"/>
  <c r="H19" i="301" s="1"/>
  <c r="I19" i="301" s="1"/>
  <c r="O19" i="301" s="1"/>
  <c r="M198" i="292"/>
  <c r="I477" i="292"/>
  <c r="P12" i="294"/>
  <c r="D82" i="325"/>
  <c r="D95" i="325" s="1"/>
  <c r="L82" i="325"/>
  <c r="L95" i="325" s="1"/>
  <c r="I82" i="325"/>
  <c r="I95" i="325" s="1"/>
  <c r="K82" i="325"/>
  <c r="K95" i="325" s="1"/>
  <c r="J82" i="325"/>
  <c r="J95" i="325" s="1"/>
  <c r="G82" i="325"/>
  <c r="H82" i="325"/>
  <c r="E82" i="325"/>
  <c r="E95" i="325" s="1"/>
  <c r="M82" i="325"/>
  <c r="M95" i="325" s="1"/>
  <c r="F82" i="325"/>
  <c r="N82" i="325"/>
  <c r="N95" i="325" s="1"/>
  <c r="C82" i="325"/>
  <c r="C95" i="325" s="1"/>
  <c r="K12" i="326"/>
  <c r="O53" i="300"/>
  <c r="K19" i="301" s="1"/>
  <c r="Y19" i="301" s="1"/>
  <c r="R53" i="300"/>
  <c r="L19" i="301" s="1"/>
  <c r="AI19" i="301" s="1"/>
  <c r="R17" i="300"/>
  <c r="I17" i="300"/>
  <c r="I53" i="300"/>
  <c r="E19" i="301" s="1"/>
  <c r="F19" i="301" s="1"/>
  <c r="AA31" i="301"/>
  <c r="AB31" i="301"/>
  <c r="AC30" i="301"/>
  <c r="AL14" i="301"/>
  <c r="J27" i="301"/>
  <c r="AC36" i="301"/>
  <c r="AM37" i="301"/>
  <c r="AC32" i="301"/>
  <c r="AL35" i="301"/>
  <c r="AL39" i="301"/>
  <c r="AK31" i="301"/>
  <c r="AM13" i="301"/>
  <c r="AM14" i="301"/>
  <c r="AB36" i="301"/>
  <c r="AK13" i="301"/>
  <c r="AK32" i="301"/>
  <c r="L10" i="301"/>
  <c r="M3" i="300"/>
  <c r="H8" i="301"/>
  <c r="F53" i="300"/>
  <c r="D19" i="301" s="1"/>
  <c r="E8" i="301"/>
  <c r="D8" i="301"/>
  <c r="F24" i="301"/>
  <c r="G24" i="301" s="1"/>
  <c r="AC14" i="301"/>
  <c r="N72" i="292"/>
  <c r="AK15" i="301"/>
  <c r="AK34" i="301"/>
  <c r="AM15" i="301"/>
  <c r="AM33" i="301"/>
  <c r="AL33" i="301"/>
  <c r="I437" i="292"/>
  <c r="AB33" i="301"/>
  <c r="N136" i="292"/>
  <c r="F17" i="300"/>
  <c r="AC38" i="301"/>
  <c r="M53" i="292"/>
  <c r="I117" i="292"/>
  <c r="I86" i="292"/>
  <c r="L77" i="300"/>
  <c r="H23" i="301" s="1"/>
  <c r="I23" i="301" s="1"/>
  <c r="O23" i="301" s="1"/>
  <c r="S23" i="301" s="1"/>
  <c r="G15" i="301"/>
  <c r="I420" i="292"/>
  <c r="J64" i="294"/>
  <c r="J25" i="301"/>
  <c r="AB29" i="301"/>
  <c r="H489" i="292"/>
  <c r="N76" i="292"/>
  <c r="AM38" i="301"/>
  <c r="M37" i="292"/>
  <c r="M41" i="292"/>
  <c r="M46" i="292"/>
  <c r="N46" i="292" s="1"/>
  <c r="M51" i="292"/>
  <c r="M56" i="292"/>
  <c r="H89" i="300"/>
  <c r="E89" i="300"/>
  <c r="M64" i="292"/>
  <c r="P98" i="294"/>
  <c r="O144" i="294"/>
  <c r="P144" i="294" s="1"/>
  <c r="L89" i="294"/>
  <c r="L64" i="294" s="1"/>
  <c r="L96" i="294"/>
  <c r="L142" i="294"/>
  <c r="L117" i="294" s="1"/>
  <c r="E16" i="301"/>
  <c r="F16" i="301" s="1"/>
  <c r="G16" i="301" s="1"/>
  <c r="D16" i="301"/>
  <c r="F89" i="300"/>
  <c r="N133" i="292"/>
  <c r="N154" i="292"/>
  <c r="N149" i="292"/>
  <c r="N145" i="292"/>
  <c r="N160" i="292"/>
  <c r="N140" i="292"/>
  <c r="N137" i="292"/>
  <c r="N147" i="292"/>
  <c r="M43" i="292"/>
  <c r="M49" i="292"/>
  <c r="M60" i="292"/>
  <c r="Q89" i="300"/>
  <c r="O17" i="300"/>
  <c r="K16" i="301" s="1"/>
  <c r="Y16" i="301" s="1"/>
  <c r="AA16" i="301" s="1"/>
  <c r="L16" i="301"/>
  <c r="AI16" i="301" s="1"/>
  <c r="AK16" i="301" s="1"/>
  <c r="K89" i="300"/>
  <c r="H16" i="301"/>
  <c r="I16" i="301" s="1"/>
  <c r="O16" i="301" s="1"/>
  <c r="AB15" i="301"/>
  <c r="AC15" i="301"/>
  <c r="AA30" i="301"/>
  <c r="J26" i="301"/>
  <c r="J14" i="301"/>
  <c r="AB19" i="301"/>
  <c r="AC19" i="301"/>
  <c r="AA19" i="301"/>
  <c r="R23" i="301"/>
  <c r="R26" i="301"/>
  <c r="S26" i="301"/>
  <c r="Q26" i="301"/>
  <c r="AB26" i="301"/>
  <c r="AC26" i="301"/>
  <c r="AA26" i="301"/>
  <c r="AM28" i="301"/>
  <c r="AL28" i="301"/>
  <c r="AK28" i="301"/>
  <c r="AL22" i="301"/>
  <c r="AM22" i="301"/>
  <c r="AK22" i="301"/>
  <c r="AB23" i="301"/>
  <c r="AC23" i="301"/>
  <c r="AA23" i="301"/>
  <c r="R27" i="301"/>
  <c r="S27" i="301"/>
  <c r="Q27" i="301"/>
  <c r="R28" i="301"/>
  <c r="S28" i="301"/>
  <c r="Q28" i="301"/>
  <c r="AB27" i="301"/>
  <c r="AC27" i="301"/>
  <c r="AA27" i="301"/>
  <c r="AB21" i="301"/>
  <c r="AC21" i="301"/>
  <c r="AA21" i="301"/>
  <c r="AL25" i="301"/>
  <c r="AM25" i="301"/>
  <c r="AK25" i="301"/>
  <c r="AL24" i="301"/>
  <c r="AM24" i="301"/>
  <c r="AK24" i="301"/>
  <c r="R22" i="301"/>
  <c r="S22" i="301"/>
  <c r="Q22" i="301"/>
  <c r="R24" i="301"/>
  <c r="S24" i="301"/>
  <c r="Q24" i="301"/>
  <c r="AB28" i="301"/>
  <c r="AC28" i="301"/>
  <c r="AA28" i="301"/>
  <c r="AB22" i="301"/>
  <c r="AC22" i="301"/>
  <c r="AA22" i="301"/>
  <c r="AL26" i="301"/>
  <c r="AM26" i="301"/>
  <c r="AK26" i="301"/>
  <c r="AL19" i="301"/>
  <c r="AM19" i="301"/>
  <c r="AK19" i="301"/>
  <c r="Q19" i="301"/>
  <c r="R19" i="301"/>
  <c r="S19" i="301"/>
  <c r="AB24" i="301"/>
  <c r="AC24" i="301"/>
  <c r="AA24" i="301"/>
  <c r="R25" i="301"/>
  <c r="S25" i="301"/>
  <c r="Q25" i="301"/>
  <c r="AB25" i="301"/>
  <c r="AC25" i="301"/>
  <c r="AA25" i="301"/>
  <c r="AL27" i="301"/>
  <c r="AM27" i="301"/>
  <c r="AK27" i="301"/>
  <c r="AL21" i="301"/>
  <c r="AM21" i="301"/>
  <c r="AK21" i="301"/>
  <c r="R21" i="301"/>
  <c r="S21" i="301"/>
  <c r="Q21" i="301"/>
  <c r="R14" i="301"/>
  <c r="S14" i="301"/>
  <c r="O149" i="294"/>
  <c r="P71" i="294"/>
  <c r="K11" i="294"/>
  <c r="P24" i="294"/>
  <c r="N65" i="292"/>
  <c r="AA38" i="301"/>
  <c r="AM30" i="301"/>
  <c r="AL30" i="301"/>
  <c r="AK30" i="301"/>
  <c r="N64" i="292"/>
  <c r="I77" i="292"/>
  <c r="N157" i="292"/>
  <c r="N142" i="292"/>
  <c r="N151" i="292"/>
  <c r="N161" i="292"/>
  <c r="N146" i="292"/>
  <c r="N155" i="292"/>
  <c r="I104" i="292"/>
  <c r="I89" i="292"/>
  <c r="N139" i="292"/>
  <c r="N135" i="292"/>
  <c r="I76" i="292"/>
  <c r="I78" i="292"/>
  <c r="I73" i="292"/>
  <c r="N39" i="292"/>
  <c r="N43" i="292"/>
  <c r="N49" i="292"/>
  <c r="N53" i="292"/>
  <c r="M58" i="292"/>
  <c r="N58" i="292" s="1"/>
  <c r="M62" i="292"/>
  <c r="N62" i="292" s="1"/>
  <c r="N198" i="292"/>
  <c r="I440" i="292"/>
  <c r="F16" i="297"/>
  <c r="F52" i="297" s="1"/>
  <c r="H457" i="292"/>
  <c r="I457" i="292" s="1"/>
  <c r="I88" i="292"/>
  <c r="I96" i="292"/>
  <c r="P3" i="300"/>
  <c r="J3" i="300"/>
  <c r="D3" i="300"/>
  <c r="O7" i="301"/>
  <c r="AI7" i="301"/>
  <c r="K10" i="301"/>
  <c r="I408" i="292"/>
  <c r="N141" i="292"/>
  <c r="I74" i="292"/>
  <c r="N37" i="292"/>
  <c r="N41" i="292"/>
  <c r="N47" i="292"/>
  <c r="N51" i="292"/>
  <c r="N56" i="292"/>
  <c r="N60" i="292"/>
  <c r="I80" i="292"/>
  <c r="I116" i="292"/>
  <c r="M197" i="292"/>
  <c r="N197" i="292" s="1"/>
  <c r="E16" i="297"/>
  <c r="E52" i="297" s="1"/>
  <c r="G16" i="297"/>
  <c r="G52" i="297" s="1"/>
  <c r="P65" i="294"/>
  <c r="P155" i="294"/>
  <c r="I100" i="292"/>
  <c r="I108" i="292"/>
  <c r="H441" i="292"/>
  <c r="I441" i="292" s="1"/>
  <c r="H445" i="292"/>
  <c r="I445" i="292" s="1"/>
  <c r="E453" i="292"/>
  <c r="E452" i="292"/>
  <c r="E451" i="292"/>
  <c r="H451" i="292" s="1"/>
  <c r="E449" i="292"/>
  <c r="E447" i="292"/>
  <c r="E443" i="292"/>
  <c r="E439" i="292"/>
  <c r="E435" i="292"/>
  <c r="H435" i="292" s="1"/>
  <c r="I435" i="292" s="1"/>
  <c r="E432" i="292"/>
  <c r="H432" i="292" s="1"/>
  <c r="I432" i="292" s="1"/>
  <c r="E429" i="292"/>
  <c r="E427" i="292"/>
  <c r="E425" i="292"/>
  <c r="I425" i="292" s="1"/>
  <c r="E424" i="292"/>
  <c r="H424" i="292" s="1"/>
  <c r="I424" i="292" s="1"/>
  <c r="E419" i="292"/>
  <c r="E418" i="292"/>
  <c r="E416" i="292"/>
  <c r="E415" i="292"/>
  <c r="E413" i="292"/>
  <c r="H413" i="292" s="1"/>
  <c r="I413" i="292" s="1"/>
  <c r="E411" i="292"/>
  <c r="H411" i="292" s="1"/>
  <c r="E409" i="292"/>
  <c r="E405" i="292"/>
  <c r="H405" i="292" s="1"/>
  <c r="I405" i="292" s="1"/>
  <c r="E403" i="292"/>
  <c r="P18" i="294"/>
  <c r="D16" i="297"/>
  <c r="D52" i="297" s="1"/>
  <c r="P30" i="294"/>
  <c r="M96" i="294"/>
  <c r="P77" i="294"/>
  <c r="R77" i="300"/>
  <c r="L23" i="301" s="1"/>
  <c r="AI23" i="301" s="1"/>
  <c r="Z40" i="301"/>
  <c r="P40" i="301"/>
  <c r="R71" i="300"/>
  <c r="L20" i="301" s="1"/>
  <c r="AI20" i="301" s="1"/>
  <c r="O71" i="300"/>
  <c r="K20" i="301" s="1"/>
  <c r="Y20" i="301" s="1"/>
  <c r="Q15" i="301"/>
  <c r="S15" i="301"/>
  <c r="I71" i="300"/>
  <c r="I89" i="300" s="1"/>
  <c r="I20" i="301"/>
  <c r="O20" i="301" s="1"/>
  <c r="AM16" i="301"/>
  <c r="I406" i="292"/>
  <c r="H410" i="292"/>
  <c r="I410" i="292" s="1"/>
  <c r="H429" i="292"/>
  <c r="I429" i="292" s="1"/>
  <c r="I451" i="292"/>
  <c r="AK38" i="301"/>
  <c r="G19" i="301"/>
  <c r="N363" i="292"/>
  <c r="I411" i="292"/>
  <c r="H415" i="292"/>
  <c r="I415" i="292" s="1"/>
  <c r="I431" i="292"/>
  <c r="H436" i="292"/>
  <c r="I436" i="292" s="1"/>
  <c r="I458" i="292"/>
  <c r="G29" i="301"/>
  <c r="N132" i="292"/>
  <c r="O13" i="301"/>
  <c r="J13" i="301"/>
  <c r="F23" i="301"/>
  <c r="L43" i="294"/>
  <c r="L11" i="294" s="1"/>
  <c r="AM35" i="301"/>
  <c r="AK36" i="301"/>
  <c r="J29" i="301"/>
  <c r="F31" i="301"/>
  <c r="G31" i="301" s="1"/>
  <c r="F32" i="301"/>
  <c r="G32" i="301" s="1"/>
  <c r="F33" i="301"/>
  <c r="G33" i="301" s="1"/>
  <c r="AM36" i="301"/>
  <c r="AL16" i="301" l="1"/>
  <c r="D40" i="301"/>
  <c r="L89" i="300"/>
  <c r="H40" i="301"/>
  <c r="Q23" i="301"/>
  <c r="J23" i="301"/>
  <c r="M89" i="294"/>
  <c r="M64" i="294" s="1"/>
  <c r="M142" i="294"/>
  <c r="M117" i="294" s="1"/>
  <c r="M43" i="294"/>
  <c r="M36" i="294"/>
  <c r="L36" i="294"/>
  <c r="I142" i="294"/>
  <c r="I117" i="294" s="1"/>
  <c r="R89" i="300"/>
  <c r="O89" i="300"/>
  <c r="AB16" i="301"/>
  <c r="AC16" i="301"/>
  <c r="I89" i="294"/>
  <c r="I43" i="294"/>
  <c r="I11" i="294" s="1"/>
  <c r="I36" i="294"/>
  <c r="J16" i="301"/>
  <c r="AL20" i="301"/>
  <c r="AM20" i="301"/>
  <c r="AK20" i="301"/>
  <c r="AB20" i="301"/>
  <c r="AC20" i="301"/>
  <c r="AA20" i="301"/>
  <c r="AA40" i="301" s="1"/>
  <c r="AL23" i="301"/>
  <c r="AM23" i="301"/>
  <c r="AM40" i="301" s="1"/>
  <c r="AK23" i="301"/>
  <c r="AK40" i="301" s="1"/>
  <c r="R20" i="301"/>
  <c r="S20" i="301"/>
  <c r="Q20" i="301"/>
  <c r="N149" i="294"/>
  <c r="AJ40" i="301"/>
  <c r="L40" i="301"/>
  <c r="O96" i="294"/>
  <c r="N96" i="294"/>
  <c r="I96" i="294"/>
  <c r="H403" i="292"/>
  <c r="I403" i="292" s="1"/>
  <c r="E402" i="292"/>
  <c r="H409" i="292"/>
  <c r="I409" i="292" s="1"/>
  <c r="H416" i="292"/>
  <c r="I416" i="292" s="1"/>
  <c r="H419" i="292"/>
  <c r="I419" i="292" s="1"/>
  <c r="H443" i="292"/>
  <c r="I443" i="292" s="1"/>
  <c r="H449" i="292"/>
  <c r="I449" i="292" s="1"/>
  <c r="H452" i="292"/>
  <c r="I452" i="292" s="1"/>
  <c r="O37" i="326"/>
  <c r="H418" i="292"/>
  <c r="I418" i="292" s="1"/>
  <c r="H427" i="292"/>
  <c r="I427" i="292" s="1"/>
  <c r="H439" i="292"/>
  <c r="I439" i="292" s="1"/>
  <c r="H447" i="292"/>
  <c r="I447" i="292" s="1"/>
  <c r="H453" i="292"/>
  <c r="I453" i="292" s="1"/>
  <c r="AI40" i="301"/>
  <c r="K40" i="301"/>
  <c r="Y40" i="301"/>
  <c r="I40" i="301"/>
  <c r="J19" i="301"/>
  <c r="J20" i="301"/>
  <c r="E20" i="301"/>
  <c r="F20" i="301" s="1"/>
  <c r="G20" i="301" s="1"/>
  <c r="S16" i="301"/>
  <c r="Q16" i="301"/>
  <c r="R16" i="301"/>
  <c r="G23" i="301"/>
  <c r="R13" i="301"/>
  <c r="S13" i="301"/>
  <c r="O40" i="301"/>
  <c r="Q13" i="301"/>
  <c r="AL40" i="301" l="1"/>
  <c r="M11" i="294"/>
  <c r="M44" i="326"/>
  <c r="M43" i="326" s="1"/>
  <c r="F73" i="325"/>
  <c r="J73" i="325"/>
  <c r="N73" i="325"/>
  <c r="I73" i="325"/>
  <c r="G73" i="325"/>
  <c r="K73" i="325"/>
  <c r="C73" i="325"/>
  <c r="M73" i="325"/>
  <c r="D73" i="325"/>
  <c r="H73" i="325"/>
  <c r="L73" i="325"/>
  <c r="E73" i="325"/>
  <c r="N37" i="326"/>
  <c r="P38" i="326"/>
  <c r="AB40" i="301"/>
  <c r="I64" i="294"/>
  <c r="O142" i="294"/>
  <c r="O117" i="294" s="1"/>
  <c r="N142" i="294"/>
  <c r="N117" i="294" s="1"/>
  <c r="N36" i="294"/>
  <c r="N89" i="294"/>
  <c r="N64" i="294" s="1"/>
  <c r="N43" i="294"/>
  <c r="H402" i="292"/>
  <c r="I402" i="292" s="1"/>
  <c r="AC40" i="301"/>
  <c r="J40" i="301"/>
  <c r="S40" i="301"/>
  <c r="G40" i="301"/>
  <c r="R40" i="301"/>
  <c r="F40" i="301"/>
  <c r="E40" i="301"/>
  <c r="Q40" i="301"/>
  <c r="J84" i="325" l="1"/>
  <c r="J97" i="325" s="1"/>
  <c r="F84" i="325"/>
  <c r="I84" i="325"/>
  <c r="I97" i="325" s="1"/>
  <c r="C84" i="325"/>
  <c r="C97" i="325" s="1"/>
  <c r="D84" i="325"/>
  <c r="E84" i="325"/>
  <c r="N84" i="325"/>
  <c r="N97" i="325" s="1"/>
  <c r="G84" i="325"/>
  <c r="G97" i="325" s="1"/>
  <c r="M84" i="325"/>
  <c r="M97" i="325" s="1"/>
  <c r="L84" i="325"/>
  <c r="L97" i="325" s="1"/>
  <c r="K84" i="325"/>
  <c r="K97" i="325" s="1"/>
  <c r="H84" i="325"/>
  <c r="H97" i="325" s="1"/>
  <c r="M12" i="326"/>
  <c r="E72" i="325"/>
  <c r="I72" i="325"/>
  <c r="M72" i="325"/>
  <c r="H72" i="325"/>
  <c r="F72" i="325"/>
  <c r="J72" i="325"/>
  <c r="N72" i="325"/>
  <c r="D72" i="325"/>
  <c r="L72" i="325"/>
  <c r="G72" i="325"/>
  <c r="K72" i="325"/>
  <c r="C72" i="325"/>
  <c r="N11" i="294"/>
  <c r="P37" i="326"/>
  <c r="G36" i="294"/>
  <c r="P102" i="294"/>
  <c r="P148" i="294"/>
  <c r="P156" i="294" s="1"/>
  <c r="P49" i="294"/>
  <c r="O43" i="294"/>
  <c r="O44" i="326" s="1"/>
  <c r="N76" i="325" l="1"/>
  <c r="M76" i="325"/>
  <c r="O65" i="325"/>
  <c r="J76" i="325"/>
  <c r="O71" i="325"/>
  <c r="K76" i="325"/>
  <c r="I76" i="325"/>
  <c r="E76" i="325"/>
  <c r="E63" i="325"/>
  <c r="H76" i="325"/>
  <c r="O73" i="325"/>
  <c r="H63" i="325"/>
  <c r="O60" i="325"/>
  <c r="O70" i="325"/>
  <c r="O58" i="325"/>
  <c r="O67" i="325"/>
  <c r="N43" i="326"/>
  <c r="O56" i="325"/>
  <c r="O11" i="294"/>
  <c r="O43" i="326"/>
  <c r="O55" i="325"/>
  <c r="G63" i="325"/>
  <c r="O59" i="325"/>
  <c r="C63" i="325"/>
  <c r="G76" i="325"/>
  <c r="C76" i="325"/>
  <c r="D96" i="325"/>
  <c r="O57" i="325"/>
  <c r="P51" i="294"/>
  <c r="O36" i="294"/>
  <c r="G85" i="325" l="1"/>
  <c r="G98" i="325" s="1"/>
  <c r="K85" i="325"/>
  <c r="K98" i="325" s="1"/>
  <c r="C85" i="325"/>
  <c r="J85" i="325"/>
  <c r="J98" i="325" s="1"/>
  <c r="D85" i="325"/>
  <c r="D98" i="325" s="1"/>
  <c r="H85" i="325"/>
  <c r="H98" i="325" s="1"/>
  <c r="L85" i="325"/>
  <c r="L98" i="325" s="1"/>
  <c r="N85" i="325"/>
  <c r="E85" i="325"/>
  <c r="I85" i="325"/>
  <c r="I98" i="325" s="1"/>
  <c r="M85" i="325"/>
  <c r="F85" i="325"/>
  <c r="F98" i="325" s="1"/>
  <c r="D86" i="325"/>
  <c r="H86" i="325"/>
  <c r="H99" i="325" s="1"/>
  <c r="L86" i="325"/>
  <c r="L99" i="325" s="1"/>
  <c r="K86" i="325"/>
  <c r="K99" i="325" s="1"/>
  <c r="E86" i="325"/>
  <c r="E99" i="325" s="1"/>
  <c r="I86" i="325"/>
  <c r="I99" i="325" s="1"/>
  <c r="M86" i="325"/>
  <c r="M99" i="325" s="1"/>
  <c r="C86" i="325"/>
  <c r="F86" i="325"/>
  <c r="F99" i="325" s="1"/>
  <c r="J86" i="325"/>
  <c r="J99" i="325" s="1"/>
  <c r="N86" i="325"/>
  <c r="N99" i="325" s="1"/>
  <c r="G86" i="325"/>
  <c r="G99" i="325" s="1"/>
  <c r="O72" i="325"/>
  <c r="P44" i="326"/>
  <c r="F63" i="325"/>
  <c r="F76" i="325"/>
  <c r="O68" i="325"/>
  <c r="O63" i="325"/>
  <c r="D76" i="325"/>
  <c r="O69" i="325"/>
  <c r="O66" i="325"/>
  <c r="L76" i="325"/>
  <c r="J92" i="325"/>
  <c r="I93" i="325"/>
  <c r="G95" i="325"/>
  <c r="E97" i="325"/>
  <c r="H94" i="325"/>
  <c r="O12" i="326"/>
  <c r="F96" i="325"/>
  <c r="I63" i="325"/>
  <c r="P43" i="326"/>
  <c r="N12" i="326"/>
  <c r="D63" i="325"/>
  <c r="G43" i="294"/>
  <c r="M89" i="325" l="1"/>
  <c r="M98" i="325"/>
  <c r="M90" i="325" s="1"/>
  <c r="N89" i="325"/>
  <c r="N98" i="325"/>
  <c r="N90" i="325" s="1"/>
  <c r="O76" i="325"/>
  <c r="G94" i="325"/>
  <c r="C89" i="325"/>
  <c r="C98" i="325"/>
  <c r="D97" i="325"/>
  <c r="E96" i="325"/>
  <c r="F95" i="325"/>
  <c r="C99" i="325"/>
  <c r="K91" i="325"/>
  <c r="H93" i="325"/>
  <c r="K92" i="325"/>
  <c r="I94" i="325"/>
  <c r="G96" i="325"/>
  <c r="E98" i="325"/>
  <c r="J93" i="325"/>
  <c r="H95" i="325"/>
  <c r="F97" i="325"/>
  <c r="D99" i="325"/>
  <c r="P12" i="326"/>
  <c r="O79" i="325"/>
  <c r="I92" i="325"/>
  <c r="O78" i="325"/>
  <c r="J91" i="325"/>
  <c r="K89" i="294"/>
  <c r="K64" i="294" s="1"/>
  <c r="K142" i="294"/>
  <c r="K117" i="294" s="1"/>
  <c r="G97" i="294"/>
  <c r="G96" i="294" s="1"/>
  <c r="G89" i="294"/>
  <c r="G11" i="294"/>
  <c r="M102" i="325" l="1"/>
  <c r="N102" i="325"/>
  <c r="J89" i="325"/>
  <c r="O83" i="325"/>
  <c r="O86" i="325"/>
  <c r="D89" i="325"/>
  <c r="G89" i="325"/>
  <c r="K89" i="325"/>
  <c r="K90" i="325"/>
  <c r="E89" i="325"/>
  <c r="O84" i="325"/>
  <c r="F89" i="325"/>
  <c r="I89" i="325"/>
  <c r="H89" i="325"/>
  <c r="O99" i="325"/>
  <c r="O82" i="325"/>
  <c r="O81" i="325"/>
  <c r="O80" i="325"/>
  <c r="O85" i="325"/>
  <c r="E90" i="325"/>
  <c r="O96" i="325"/>
  <c r="O97" i="325"/>
  <c r="D90" i="325"/>
  <c r="G90" i="325"/>
  <c r="O94" i="325"/>
  <c r="J90" i="325"/>
  <c r="I90" i="325"/>
  <c r="O92" i="325"/>
  <c r="L89" i="325"/>
  <c r="L91" i="325"/>
  <c r="L90" i="325" s="1"/>
  <c r="C90" i="325"/>
  <c r="C102" i="325" s="1"/>
  <c r="O98" i="325"/>
  <c r="H90" i="325"/>
  <c r="O93" i="325"/>
  <c r="F90" i="325"/>
  <c r="O95" i="325"/>
  <c r="K36" i="294"/>
  <c r="P36" i="294" s="1"/>
  <c r="P37" i="294"/>
  <c r="G142" i="294"/>
  <c r="G64" i="294"/>
  <c r="H43" i="294"/>
  <c r="P44" i="294"/>
  <c r="J102" i="325" l="1"/>
  <c r="G102" i="325"/>
  <c r="K102" i="325"/>
  <c r="H102" i="325"/>
  <c r="E102" i="325"/>
  <c r="D102" i="325"/>
  <c r="O89" i="325"/>
  <c r="F102" i="325"/>
  <c r="I102" i="325"/>
  <c r="O91" i="325"/>
  <c r="L102" i="325"/>
  <c r="G149" i="294"/>
  <c r="G117" i="294" s="1"/>
  <c r="P90" i="294"/>
  <c r="H97" i="294"/>
  <c r="H89" i="294"/>
  <c r="H11" i="294"/>
  <c r="P11" i="294" s="1"/>
  <c r="P43" i="294"/>
  <c r="O90" i="325" l="1"/>
  <c r="O102" i="325"/>
  <c r="H96" i="294"/>
  <c r="P97" i="294"/>
  <c r="P96" i="294" l="1"/>
  <c r="H64" i="294"/>
  <c r="H142" i="294" l="1"/>
  <c r="P142" i="294" s="1"/>
  <c r="P143" i="294"/>
  <c r="H149" i="294" l="1"/>
  <c r="P150" i="294"/>
  <c r="H117" i="294" l="1"/>
  <c r="P117" i="294" s="1"/>
  <c r="P149" i="294"/>
  <c r="P95" i="294" l="1"/>
  <c r="P103" i="294" s="1"/>
  <c r="O89" i="294" l="1"/>
  <c r="O64" i="294" s="1"/>
  <c r="P64" i="294" s="1"/>
  <c r="P89" i="294" l="1"/>
</calcChain>
</file>

<file path=xl/sharedStrings.xml><?xml version="1.0" encoding="utf-8"?>
<sst xmlns="http://schemas.openxmlformats.org/spreadsheetml/2006/main" count="2143" uniqueCount="1071">
  <si>
    <t>Taksë regjstrimi në Universitet</t>
  </si>
  <si>
    <t>Taksë regjstrimi</t>
  </si>
  <si>
    <t>Shuma Konkurse</t>
  </si>
  <si>
    <t>Konkurse</t>
  </si>
  <si>
    <t>Të ardhura nga biletat</t>
  </si>
  <si>
    <t xml:space="preserve">Shitja e sportistëve </t>
  </si>
  <si>
    <t>Të tjera (shërbime)</t>
  </si>
  <si>
    <t>Dokumenta tenderi</t>
  </si>
  <si>
    <t xml:space="preserve">Total:  </t>
  </si>
  <si>
    <t>Pasqyra Nr.1: Parashikimi i të ardhurave të veta të Ministrive dhe Institucioneve Buxhetore</t>
  </si>
  <si>
    <t>Ministri/Institucion</t>
  </si>
  <si>
    <t>PROJEKT BUXHETI</t>
  </si>
  <si>
    <t>PER VITIN</t>
  </si>
  <si>
    <t xml:space="preserve">                 Në 000 / lekë</t>
  </si>
  <si>
    <t>::</t>
  </si>
  <si>
    <t>Baza Ligjore, Ligj, VKM, Udhëzim,</t>
  </si>
  <si>
    <t>Nga të cilat</t>
  </si>
  <si>
    <t>Emertimi të Ardhurave</t>
  </si>
  <si>
    <t>numër dhe data e miratimit</t>
  </si>
  <si>
    <t>Te ardhura Total</t>
  </si>
  <si>
    <t>I takojne  instituci- onit</t>
  </si>
  <si>
    <t>Derdhen në Buxhet Përgjith.</t>
  </si>
  <si>
    <t xml:space="preserve">                    I takojne institucionit</t>
  </si>
  <si>
    <t>% për secilin artikull</t>
  </si>
  <si>
    <t>Institucioni</t>
  </si>
  <si>
    <t>QKAVP</t>
  </si>
  <si>
    <t>Investime</t>
  </si>
  <si>
    <t>Operative</t>
  </si>
  <si>
    <t>Punonjesit civile - Ministria e Rendit</t>
  </si>
  <si>
    <t>- 50%</t>
  </si>
  <si>
    <t>Punonjesit me Grada</t>
  </si>
  <si>
    <t xml:space="preserve">Gj.Lejtnant Admiral </t>
  </si>
  <si>
    <t>Mbi 26</t>
  </si>
  <si>
    <t>Gj.Major (Nenadmiral)</t>
  </si>
  <si>
    <t>Mbi 26 vjet</t>
  </si>
  <si>
    <t>Mbi 24 vjet</t>
  </si>
  <si>
    <t>Gj,Brigade (Kunderadmiral)</t>
  </si>
  <si>
    <t>Mbi 22 vjet</t>
  </si>
  <si>
    <t>Kolonel (Kapiten I rangut I-re)</t>
  </si>
  <si>
    <t>Mbi 20 vjet</t>
  </si>
  <si>
    <t>Mbi 18 vjet</t>
  </si>
  <si>
    <t>Nenkolonel (Kapiten i rangut II-re)</t>
  </si>
  <si>
    <t>Mbi 16 vjet</t>
  </si>
  <si>
    <t>Mbi 14 vjet</t>
  </si>
  <si>
    <t>Major (Kapiten i rangut III-re)</t>
  </si>
  <si>
    <t>Mbi 12 vjet</t>
  </si>
  <si>
    <t>Mbi 10 vjet</t>
  </si>
  <si>
    <t>Kapiten  (kapiten lejtnant)</t>
  </si>
  <si>
    <t>Mbi 8 vjet</t>
  </si>
  <si>
    <t>Mbi 6 vjet</t>
  </si>
  <si>
    <t>Mbi 4 vjet</t>
  </si>
  <si>
    <t>Toger (lejtnant)</t>
  </si>
  <si>
    <t>Mbi 3 vjet</t>
  </si>
  <si>
    <t>Mbi 2 vjet</t>
  </si>
  <si>
    <t>Nentoger (nenlejtnant)</t>
  </si>
  <si>
    <t>Nen 2 vjet</t>
  </si>
  <si>
    <t xml:space="preserve">K/Kapter </t>
  </si>
  <si>
    <t xml:space="preserve">Kapter </t>
  </si>
  <si>
    <t>Tetar</t>
  </si>
  <si>
    <t>Nentetar</t>
  </si>
  <si>
    <t>Ushtare detar profesionist II</t>
  </si>
  <si>
    <t>Ligji per oret jashte orarit per ZABGJ  = 9111 date 24,7,2003</t>
  </si>
  <si>
    <t>Ligji per ZABGJ per shperblim ne vere me 1 page mujore vetem per gjygjtaret e krimeve  = ligji 9110 date 24,7,2003</t>
  </si>
  <si>
    <t>Buxheti</t>
  </si>
  <si>
    <t>Limiti</t>
  </si>
  <si>
    <t>Mallra dhe sherbime te tjera</t>
  </si>
  <si>
    <t>Shpenzime transporti</t>
  </si>
  <si>
    <t>Shpenzime udhetimi</t>
  </si>
  <si>
    <t>Shpenzime te lidhura me huamarrjen per hua</t>
  </si>
  <si>
    <t>Shpenzime te tjera operative</t>
  </si>
  <si>
    <t>605</t>
  </si>
  <si>
    <t>230</t>
  </si>
  <si>
    <t>Emertimi</t>
  </si>
  <si>
    <t>Shuma</t>
  </si>
  <si>
    <t>Kodi</t>
  </si>
  <si>
    <t>Paga</t>
  </si>
  <si>
    <t>Kerkesa</t>
  </si>
  <si>
    <t>Nga te ardhurat</t>
  </si>
  <si>
    <t>Artikulli</t>
  </si>
  <si>
    <t>Nenkategoria</t>
  </si>
  <si>
    <t xml:space="preserve">Nga te ardhurat </t>
  </si>
  <si>
    <t>Subvencione</t>
  </si>
  <si>
    <t>Nenkategoria 603</t>
  </si>
  <si>
    <t>Grupi</t>
  </si>
  <si>
    <t xml:space="preserve">Pershkrimi </t>
  </si>
  <si>
    <t>Totali</t>
  </si>
  <si>
    <t xml:space="preserve">Titulli </t>
  </si>
  <si>
    <t xml:space="preserve">Kapitulli </t>
  </si>
  <si>
    <t xml:space="preserve">Pagat </t>
  </si>
  <si>
    <t xml:space="preserve">Kontrib. e Sigurimeve Shoqerore </t>
  </si>
  <si>
    <t>Mallra dhe Sherbime</t>
  </si>
  <si>
    <t>Subvenci- onet</t>
  </si>
  <si>
    <t>Te Tjera Transfer. Korrente Brendshme</t>
  </si>
  <si>
    <t>Transfer. Korrente te Huaja</t>
  </si>
  <si>
    <t xml:space="preserve">Shpenzime Kapitale te Patrupezu-ara </t>
  </si>
  <si>
    <t>Shpenzime Kapitale te Trupezuara</t>
  </si>
  <si>
    <t>&lt;&lt;Ministria e ...&gt;&gt;</t>
  </si>
  <si>
    <t>&lt;&lt;Emertimi i Programit&gt;&gt;</t>
  </si>
  <si>
    <t xml:space="preserve">Çelje nga Buxheti i Pergjithshem    </t>
  </si>
  <si>
    <t xml:space="preserve">Financim i Huaj </t>
  </si>
  <si>
    <t>Kostot Lokale per Projektet me Financim te Huaj</t>
  </si>
  <si>
    <t xml:space="preserve">Mbulimi i TVSH, Detyrimeve Doganore </t>
  </si>
  <si>
    <t xml:space="preserve">Shpenzime nga te Ardhurat </t>
  </si>
  <si>
    <t>000/leke</t>
  </si>
  <si>
    <t>Emertimi i Subvecionit</t>
  </si>
  <si>
    <t>Institucionit te cilit i akordohet transferimi</t>
  </si>
  <si>
    <t>Nr.</t>
  </si>
  <si>
    <t>Transferta korrente jashte vendit</t>
  </si>
  <si>
    <t>Institucionit/Organizates te cilit i akordohet transferta</t>
  </si>
  <si>
    <t>Transferta per Buxhete Familjare dhe Individe</t>
  </si>
  <si>
    <t>Buxhet Familjar / Individe*</t>
  </si>
  <si>
    <t>Transferta korrente te brendshme</t>
  </si>
  <si>
    <t>606</t>
  </si>
  <si>
    <t>Transferta per Buxhetet Familjare dhe Individet</t>
  </si>
  <si>
    <t>Nr.perfituesve</t>
  </si>
  <si>
    <t>TOTALI</t>
  </si>
  <si>
    <t>Programi</t>
  </si>
  <si>
    <t>Pasqyra Nr. 5: Parashikimi i Shpenzimeve per Mallra dhe Sherbime per secilin Program te Ministrive te Linjes (602)</t>
  </si>
  <si>
    <t>Pasqyra Nr. 7: Parashikimi i Shpenzimeve per Transferta Korrente te Brendshme per secilin Program te Ministrive te Linjes (604)</t>
  </si>
  <si>
    <t>Pasqyra Nr. 8: Parashikimi i Shpenzimeve per Transferime Korrente me Jashte per secilin Program te Ministrive te Linjes (605)</t>
  </si>
  <si>
    <t>Pasqyra Nr. 9: Parashikimi i Shpenzimeve per Transfertat ne Buxhetet Familjare dhe Individet per secilin Program te Ministrive te Linjes (606)</t>
  </si>
  <si>
    <t>Sigurime Shoqerore</t>
  </si>
  <si>
    <t>Transferta te Brendshme</t>
  </si>
  <si>
    <t>Transferta te Jashtme</t>
  </si>
  <si>
    <t>Transferta te Buxhetet Familiare dhe Individet</t>
  </si>
  <si>
    <t>Shpenzime Kapitale te Trupezuara te Brendshme</t>
  </si>
  <si>
    <t>Shpenzime Kapitale te Patrupezuara te Brendshme</t>
  </si>
  <si>
    <t>Shpenzime Kapitale te Patrupezuara te Huaja</t>
  </si>
  <si>
    <t>Shpenzime Kapitale te Trupezuara te Huaja</t>
  </si>
  <si>
    <t>Emertimi i Artikujve Buxhetore</t>
  </si>
  <si>
    <t>Janar</t>
  </si>
  <si>
    <t>Shkurt</t>
  </si>
  <si>
    <t>Mars</t>
  </si>
  <si>
    <t>Prill</t>
  </si>
  <si>
    <t>Maj</t>
  </si>
  <si>
    <t>Qershor</t>
  </si>
  <si>
    <t>Korrik</t>
  </si>
  <si>
    <t>Gusht</t>
  </si>
  <si>
    <t>Shtator</t>
  </si>
  <si>
    <t>Tetor</t>
  </si>
  <si>
    <t>Nëntor</t>
  </si>
  <si>
    <t>Dhjetor</t>
  </si>
  <si>
    <t>Shpenzime per Mallra dhe Sherbime</t>
  </si>
  <si>
    <t>Pasqyra Nr. 6: Parashikimi i Shpenzimeve per Subvencione per secilin Program te Ministrive te Linjes (603)</t>
  </si>
  <si>
    <t>Emri</t>
  </si>
  <si>
    <t>Data</t>
  </si>
  <si>
    <t>Drejtori i Drejtorise Ekonomike/Finances</t>
  </si>
  <si>
    <t xml:space="preserve">Përshkrimi </t>
  </si>
  <si>
    <t>Numri i  punonjësve me kontratë</t>
  </si>
  <si>
    <t>Kohe e punuar mesatarisht per punonjesit me kontrate</t>
  </si>
  <si>
    <t>II-a</t>
  </si>
  <si>
    <t>II-b</t>
  </si>
  <si>
    <t>Drejtor I Pergjithshem</t>
  </si>
  <si>
    <t>III-a</t>
  </si>
  <si>
    <t>III-b</t>
  </si>
  <si>
    <t>IV-a</t>
  </si>
  <si>
    <t>Ministria/Institucioni buxhetor</t>
  </si>
  <si>
    <t>Renditja sipas
Prioritetit te Institucionit</t>
  </si>
  <si>
    <t>Vlera e 
plote e projektit</t>
  </si>
  <si>
    <t>Plani</t>
  </si>
  <si>
    <t>Realizuar</t>
  </si>
  <si>
    <t xml:space="preserve">Emri i Projekt                                                                                                                                                                                                                           </t>
  </si>
  <si>
    <t>Vlera (Grant)</t>
  </si>
  <si>
    <t>Vlera (Kredi)</t>
  </si>
  <si>
    <t>Emri
Donatorit ose Kreditorit</t>
  </si>
  <si>
    <t>Viti  fillimit</t>
  </si>
  <si>
    <t>Viti Mbarimit</t>
  </si>
  <si>
    <t xml:space="preserve">Kosto Totale e Projektit </t>
  </si>
  <si>
    <t>a</t>
  </si>
  <si>
    <t>a/1</t>
  </si>
  <si>
    <t>b</t>
  </si>
  <si>
    <t>b/1</t>
  </si>
  <si>
    <t>c</t>
  </si>
  <si>
    <t>c/1</t>
  </si>
  <si>
    <t>d</t>
  </si>
  <si>
    <t>d/1</t>
  </si>
  <si>
    <t>e</t>
  </si>
  <si>
    <t>e/1</t>
  </si>
  <si>
    <t>11-(a+b+c+d+e)</t>
  </si>
  <si>
    <t>Shenim.</t>
  </si>
  <si>
    <t>2. Ne kolonat:</t>
  </si>
  <si>
    <t>E njeta llogjike si ne kolonen c dhe c/1 do te perdoret edhe per kolonat e tjera.</t>
  </si>
  <si>
    <t>I</t>
  </si>
  <si>
    <t>I.1</t>
  </si>
  <si>
    <t>I.2</t>
  </si>
  <si>
    <t>I.3</t>
  </si>
  <si>
    <t>II</t>
  </si>
  <si>
    <t>II.1</t>
  </si>
  <si>
    <t>II.2</t>
  </si>
  <si>
    <t>III</t>
  </si>
  <si>
    <t>III.1</t>
  </si>
  <si>
    <t>III.2</t>
  </si>
  <si>
    <t xml:space="preserve">Drejtor </t>
  </si>
  <si>
    <t>Entiteti i Qeverisjes</t>
  </si>
  <si>
    <t>Kapitulli</t>
  </si>
  <si>
    <t>Llogaria ekonomike</t>
  </si>
  <si>
    <t>Kodi i Deges se Thesarit</t>
  </si>
  <si>
    <t>Kodi i projektit</t>
  </si>
  <si>
    <t>Emertimi i projektit te investimit</t>
  </si>
  <si>
    <t>Formulari i Propozimit te Projektit per Investim (FPPI) Bashkengjitur
PO / JO</t>
  </si>
  <si>
    <t xml:space="preserve">Ne Kollonen 1 do te behet renditja e projekteve sipas prioriteteve te Institucionit ne radhitje numerike 1, 2, 3, …. duke filluar nga me prioritari (vlerat numerike nuk mund te perseriten) </t>
  </si>
  <si>
    <t>Ne Kollonat 2, 3, 4, 5, 6, 8 do te vendoset struktura e sakte buxhetore qe i perket secilit projekt</t>
  </si>
  <si>
    <t>Ne Kollonen 9, Emri i Projektit do te japi nje pershkrim te qarte te asaj qe do te realizohet nga ky projekt. Ne rastin e shpenzimeve jashte projekteve do te listohet emertimi</t>
  </si>
  <si>
    <t>Ne Kollonen 10, Vlera e Plote e projektit</t>
  </si>
  <si>
    <t>Ne Kollonen 15 do te jepet Pergjigja Po ose Jo, nese Formulari i Formulari i Propozimit te Projektit per Investim (FPPI)  eshte i plotesuar ose jo dhe i eshte bashkengjitur</t>
  </si>
  <si>
    <t xml:space="preserve">
Grupi</t>
  </si>
  <si>
    <t>Llog. 
Ekonomike</t>
  </si>
  <si>
    <t>Kodi
Projektit</t>
  </si>
  <si>
    <t>Ministria/Institucioni Buxhetor</t>
  </si>
  <si>
    <t>EMRI I MINISTRISE / INSTITUCIONIT</t>
  </si>
  <si>
    <t xml:space="preserve"> </t>
  </si>
  <si>
    <t>Ministria/ nstitucioni buxhetor</t>
  </si>
  <si>
    <t>Ministria/Insititucioni buxhetor</t>
  </si>
  <si>
    <t xml:space="preserve">Numri i  parashikuar i  punonjësve  </t>
  </si>
  <si>
    <t>&lt;&lt;Institucioni /( Njesia e shpenzimit)&gt;&gt;</t>
  </si>
  <si>
    <t>Pasqyra 12. Parashikimi i Investimeve te Huaja sipas Projekteve</t>
  </si>
  <si>
    <t xml:space="preserve">Shofer </t>
  </si>
  <si>
    <t>Ministria/Institucioni Buxhetor/Grupi</t>
  </si>
  <si>
    <t>Kodi i institucionit</t>
  </si>
  <si>
    <t>Ne 000 leke</t>
  </si>
  <si>
    <t xml:space="preserve">   </t>
  </si>
  <si>
    <t xml:space="preserve">       </t>
  </si>
  <si>
    <t>Ministria/institucionbuxhetor</t>
  </si>
  <si>
    <t>Pasqyra Nr. 10: Parashikimi Mujor i Fluksit te Parase per Shpenzimet Buxhetore te secilit Program te Ministrive te Linjes/Institucioneve Buxhetore</t>
  </si>
  <si>
    <t>Kap.</t>
  </si>
  <si>
    <t>Qark</t>
  </si>
  <si>
    <t>Emertimi i projektit të investimit</t>
  </si>
  <si>
    <t>Formulari e identifikimit
 te projektit bashkangjitur
PO / JO</t>
  </si>
  <si>
    <t>Entiteti</t>
  </si>
  <si>
    <t>Qeverisjes</t>
  </si>
  <si>
    <t>Makineri teknologjike</t>
  </si>
  <si>
    <t>Mjete transporti</t>
  </si>
  <si>
    <t>Sponorizime</t>
  </si>
  <si>
    <t xml:space="preserve">Tarifat e kohës pjesshme </t>
  </si>
  <si>
    <t xml:space="preserve">         </t>
  </si>
  <si>
    <t>Totali i programit 3</t>
  </si>
  <si>
    <t>Aneksi 7.A</t>
  </si>
  <si>
    <t>Pasqyra Nr.2: Permbledhese e Kerkesave Buxhetore</t>
  </si>
  <si>
    <t>1. Ne kolonat:</t>
  </si>
  <si>
    <t>Nenshkrimi</t>
  </si>
  <si>
    <t>Koordinatori i GSBI / Nepunesi Autorizues</t>
  </si>
  <si>
    <t>Sherbime nga te trete</t>
  </si>
  <si>
    <t>Elektricitet</t>
  </si>
  <si>
    <t>Telefoni fikse</t>
  </si>
  <si>
    <t>Sherbim per ngrohje</t>
  </si>
  <si>
    <t>Pjese kembimi, goma dhe bateri</t>
  </si>
  <si>
    <t>Udhetim jashte shtetit</t>
  </si>
  <si>
    <t>Shpenzime per mirembajtjen e objekteve ndertimore</t>
  </si>
  <si>
    <t>Shpenzime per mirembajtjen e mjeteve te transportit</t>
  </si>
  <si>
    <t xml:space="preserve">Materiale zyre dhe te pergjithshme </t>
  </si>
  <si>
    <t>Kancelari</t>
  </si>
  <si>
    <t>Materiale per pastrim, dezinfektim, ngrohje dhe ndriçim</t>
  </si>
  <si>
    <t>Materiale per funksionimin e pajisjeve te zyres</t>
  </si>
  <si>
    <t>Materiale per funksionimin e pajisjeve speciale</t>
  </si>
  <si>
    <t>Blerje dokumentacioni</t>
  </si>
  <si>
    <t>Furnizime dhe materiale te tjera zyre dhe te pergjishme</t>
  </si>
  <si>
    <t>Materiale dhe sherbime speciale</t>
  </si>
  <si>
    <t>Uniforma dhe veshje te tjera speciale</t>
  </si>
  <si>
    <t>Plehra kimike, furnitura veterinare, farera, fidane e te tjera produkte agrokulturore</t>
  </si>
  <si>
    <t>Ilaçe, materiale dhe proteza mjekesore</t>
  </si>
  <si>
    <t>Furnizime dhe sherbime me ushqim per mencat</t>
  </si>
  <si>
    <t>Pajisje, materiale dhe sherbime ushtarake</t>
  </si>
  <si>
    <t>Pajisje per perdorim policor</t>
  </si>
  <si>
    <t>Libra dhe publikime profesionale</t>
  </si>
  <si>
    <t xml:space="preserve">Materiale per mbrojtjen e tokes, bimeve dhe kafsheve nga semundjet </t>
  </si>
  <si>
    <t>Materiale dhe pajisje labratorike te sherbimit publik</t>
  </si>
  <si>
    <t>Shpenzime per prodhim dokumentacioni specifik</t>
  </si>
  <si>
    <t>Softe informatike me karakter te pergjithshem</t>
  </si>
  <si>
    <t>Te tjera materiale dhe sherbime speciale</t>
  </si>
  <si>
    <t>Uje</t>
  </si>
  <si>
    <t>Sherbime telefonike</t>
  </si>
  <si>
    <t>Posta dhe sherbimi korrier</t>
  </si>
  <si>
    <t>Sherbime te ISSH per ISKSH</t>
  </si>
  <si>
    <t>Sherbime te sigurimit dhe ruajtjes</t>
  </si>
  <si>
    <t>Sherbime te printimit dhe publikimit</t>
  </si>
  <si>
    <t>Kosto e trajnimit dhe seminareve</t>
  </si>
  <si>
    <t>Sherbime te tjera</t>
  </si>
  <si>
    <t>Karburant dhe vaj</t>
  </si>
  <si>
    <t>Muajt</t>
  </si>
  <si>
    <t>a/1-Profesor, Rektor</t>
  </si>
  <si>
    <t>a/1-Profesor, zv/Rektor</t>
  </si>
  <si>
    <t>a/1-Profesor, Dekan</t>
  </si>
  <si>
    <t>a/1-Profesor, P/departamenti</t>
  </si>
  <si>
    <t>a/1-Profesor, P/grupi mësimor</t>
  </si>
  <si>
    <t>a/1-Profesor, pedagog</t>
  </si>
  <si>
    <t>a/2-Ass. Profesor, Rektor</t>
  </si>
  <si>
    <t>a/2-Ass. Profesor, zv/Rektor</t>
  </si>
  <si>
    <t>a/2-Ass. Profesor, Dekan</t>
  </si>
  <si>
    <t>a/2-Ass. Profesor, P/departamenti</t>
  </si>
  <si>
    <t>a/2-Ass. Profesor , P/grupi mësimor</t>
  </si>
  <si>
    <t>a/2-Ass. Profesor, pedagog</t>
  </si>
  <si>
    <t>b/1- Doktor i Shkenc, zv/Rektor</t>
  </si>
  <si>
    <t>b/1- Doktor i Shkenc, Dekan</t>
  </si>
  <si>
    <t>b/1- Doktor i Shkenc, zv/Dekan</t>
  </si>
  <si>
    <t>b/1- Doktor i Shkenc, P/departamenti</t>
  </si>
  <si>
    <t>b/1- Doktor i Shkenc, P/grupi mësimor</t>
  </si>
  <si>
    <t>b/2-Lektor i parë, Rektor</t>
  </si>
  <si>
    <t>b/2-Lektor i parë, zv/Rektor</t>
  </si>
  <si>
    <t>b/2-Lektor i parë,  P/departamenti</t>
  </si>
  <si>
    <t>b/2-Lektor i parë, P/grupi mësimor</t>
  </si>
  <si>
    <t>b/2-Lektor i parë</t>
  </si>
  <si>
    <t>c/1-Lektor,  Rektor</t>
  </si>
  <si>
    <t>c/1-Lektor,   zv/Rektor</t>
  </si>
  <si>
    <t>c/1-Lektor,   Dekan</t>
  </si>
  <si>
    <t>c/1-Lektor,   P/departamenti</t>
  </si>
  <si>
    <t>c/1-Lektor,  P/grupi mësimor</t>
  </si>
  <si>
    <t xml:space="preserve">c/1-Lektor,  </t>
  </si>
  <si>
    <t>a/2</t>
  </si>
  <si>
    <t>PROJEKT  BUXHETI</t>
  </si>
  <si>
    <t>Viti</t>
  </si>
  <si>
    <t>Vitet</t>
  </si>
  <si>
    <t>nga 1 ne 5 do te shenohen kodet qe perdoren ne pasqyrat e projektbuxhetit</t>
  </si>
  <si>
    <t xml:space="preserve"> 6. ne kete kolone do te shenohet emri I projektit. P.sh Ndertim i nje rruge, nje shkolle, ose nje projekti trainimi, etj</t>
  </si>
  <si>
    <t>7 dhe 8  do te jepet vlera e projektit ne monedhen vendase duke perdorur kurset e kembimit ne shenimin 1.</t>
  </si>
  <si>
    <t>9. Ne kete kolone do te tregohet emri I Donatorit/Kreditorit, ne rastet kur eshte me shume se nje i tille ata do te shenohen sipas pjeses qe kontribuojne</t>
  </si>
  <si>
    <t>12. Ne kete kolone do te pasqyrohet kosto totale nga fillimi deri ne perfundim te projektit.</t>
  </si>
  <si>
    <t>shkruaj vitin per te cilin plotesohet PBA</t>
  </si>
  <si>
    <t>Ministria/ Institucioni</t>
  </si>
  <si>
    <t>Shkruaj emrin e institucionit</t>
  </si>
  <si>
    <t>Pershkrimi</t>
  </si>
  <si>
    <t>Shkruaj Kodin e institucionit</t>
  </si>
  <si>
    <t>Shpenzimet e siguracionit te mjeteve te transportit</t>
  </si>
  <si>
    <t>Shpenzime te tjera transporti</t>
  </si>
  <si>
    <t>Udhetim i brendshem</t>
  </si>
  <si>
    <t>Shpenzime per mirembajtjen e tokave dhe aktiveve natyrore</t>
  </si>
  <si>
    <t>Shpenzime per mirembajtjen e objekteve specifike</t>
  </si>
  <si>
    <t>Shpenzime per mirembajtjen e aparateve, paisjeve teknike dhe  veglave te punes</t>
  </si>
  <si>
    <t>Shpenzime per mirembajtjen e rezerves shteterore</t>
  </si>
  <si>
    <t>Shpenzime per qeramarrje  ambjentesh</t>
  </si>
  <si>
    <t>Shpenzime per qeramarrje  per pronat residenciale</t>
  </si>
  <si>
    <t>Shpenzime per qeramarrje per aparate dhe pajisjet teknike, makineri</t>
  </si>
  <si>
    <t>Sherbime te  pastrimit dhe gjelberimit</t>
  </si>
  <si>
    <t>Sherbimet bankare</t>
  </si>
  <si>
    <t>Shpenzime per qeramarrje mjetesh transporti</t>
  </si>
  <si>
    <t>Shpenzime te tjera qeraje</t>
  </si>
  <si>
    <t>Shpenzime per kompensim per ish te perndjekurit politike</t>
  </si>
  <si>
    <t>Shpenzime per kompensim per burgosjet e padrejta</t>
  </si>
  <si>
    <t>Shpenzime kompensimi per shpronesim ne te kaluaren</t>
  </si>
  <si>
    <t>Shpenzime per ekzekutim te vendimeve gjyqesore per largim nga puna</t>
  </si>
  <si>
    <t>Shpenzime per ekzekutim te detyrime kontraktuale te papaguara</t>
  </si>
  <si>
    <t>Shpenzime per kompensime te tjera te papaguara</t>
  </si>
  <si>
    <t>I/1</t>
  </si>
  <si>
    <t>Lidhja I/1</t>
  </si>
  <si>
    <t>NIVELET E PAGËS BAZË PËR KLASË NË ADMINISTRATËN E PRESIDENTIT, KUVENDIT, NË KRYEMINISTRI, INSTITUCIONE TË PAVARURA, APARATET E MINISTRIVE TË LINJËS, INSTITUCIONE QENDRORE NË VARËSI TË KRYEMINISTRIT/MINISTRAVE TË LINJËS DHE NË PREFEKTURA</t>
  </si>
  <si>
    <t>Rojë</t>
  </si>
  <si>
    <t>Shofer/Shaptilografist/ Fotokopjuese/Kaldajist</t>
  </si>
  <si>
    <t>Pastrues/sanitar / Korrier. Postier</t>
  </si>
  <si>
    <t>Nëpunës informacioni. Centralist / Punëtor mirëmbajtës</t>
  </si>
  <si>
    <t>Operator/ Magazinier / Preparator / Kolektor / Punonjës blegtorie</t>
  </si>
  <si>
    <t>Teknik i mesëm i specialiteteve të ndryshme.Operator në INSTAT.Administrator dokumentesh në drejtoritë e arkivave në qarqe</t>
  </si>
  <si>
    <t xml:space="preserve">Bibliotekar në bibliotekat e fakultetit dhe Akademisë së Mbrojtjes.Restaurator.Arkivist. Protokollist.Laborant.Llogaritar.Kontrollor anketimi </t>
  </si>
  <si>
    <t xml:space="preserve">Sekretar i titullarëve të tjerë.Bibliotekar në ministritë e linjës.Bibliotekar në bibliotekën shkencore të universitetit.Ndihmësinspektor.Ndihmësspecialist . Përgjegjës ofiçine e transporti </t>
  </si>
  <si>
    <t>Përgjegjës zyre/ Sekretar rektori/ Teknik shtypshkronje, faqosës në Qendrën e Publikimeve Zyrtare</t>
  </si>
  <si>
    <t xml:space="preserve">Përgjegjës i sektorit të teknikës në Qendrën e Publikimeve Zyrtare/  Offsetist në Qendrën e Publikimeve Zyrtare </t>
  </si>
  <si>
    <t>RENDITJA E POZICIONEVE TË PËRGJITHSHME TË PUNËS PËR ÇDO KLASË PËR PUNONJËSIT MBËSHTETËS NË ADMINISTRATËN E INSTITUCIONEVE RAJONALE DHE VENDORE, SI DHE TË INSTITUCIONEVE QENDRORE TË GRUPIT TË TRETË TË SISTEMIT TË MINISTRISË SË MBROJTJES</t>
  </si>
  <si>
    <t>Lidhja II/1</t>
  </si>
  <si>
    <t>VENDIM
Nr.554, datë 11.8.2011
PËR DISA NDRYSHIME NË VENDIMIN NR.194, DATË 22.4.1999 TË KËSHILLIT TË
MINISTRAVE “PËR MIRATIMIN E STRUKTURËS SË PAGËS SË PUNONJËSVE
MËSIMORË, NË ARSIMIN PARAUNIVERSITAR”, TË NDRYSHUAR</t>
  </si>
  <si>
    <t>VENDIM
Nr.545, datë 11.8.2011
PËR MIRATIMIN E STRUKTURËS DHE TË NIVELEVE TË PAGAVE TË NËPUNËSVE
CIVILË/NËPUNËSVE, ZËVENDËSMINISTRIT DHE NËPUNËSVE TË KABINETEVE, NË
KRYEMINISTRI, APARATET E MINISTRIVE TË LINJËS, ADMINISTRATËN E
PRESIDENTIT, KUVENDIT, KOMISIONIT QENDROR TË ZGJEDHJEVE,
PROKURORINË E PËRGJITHSHME, DISA INSTITUCIONE TË PAVARURA,
INSTITUCIONET NË VARËSI TË KËSHILLIT TË MINISTRAVE/KRYEMINISTRIT,
INSTITUCIONET NË VARËSI TË MINISTRAVE TË LINJËS DHE ADMINISTRATËN E
PREFEKTIT</t>
  </si>
  <si>
    <t>Titullar i institucionit
Drejtor Ekzekutiv i Këshillit Kombëtar të Kontabilitetit.
Kancelar në universitet</t>
  </si>
  <si>
    <t>Zëvendëstitullar i institucionit.
Drejtor Drejtorie
Ekspert mjeko - ligjor në Institutin e Mjekësisë Ligjore.
Inspektor në administratën e Këshillit Kombëtar të
Kontabilitetit</t>
  </si>
  <si>
    <t>Drejtor Drejtorie.
Kryeredaktor në Qendrën e Publikimeve Zyrtare Përgjegjës sektori
Ekspert toksikologo – ligjor në Institutin e Mjekësisë
Ligjore.
Ekspert psikiatër – ligjor në Institutin e Mjekësisë Ligjore
Ekspert biologo – ligjor në Institutin e Mjekësisë Ligjore
Ekspert mjeko – ligjor pranë gjykatave të apelit.
Drejtor i Bibliotekës Shkencore të universiteteve
Kancelar në fakultet</t>
  </si>
  <si>
    <t>Përgjegjës sektori
Kryetar dege në rektorat Redaktor i Qendrës së Publikimeve Zyrtare
Inspektor</t>
  </si>
  <si>
    <t>Kryetar dege në fakultet
Përgjegjës biblioteke në universitete dhe shkollat e tjera të larta,
Përgjegjës sektori në rektorat
Përgjegjës sektori në Bibliotekën Shkencore të universitetit.
Kryesekretar në universitete dhe shkollat e tjera të larta dhe Shkollën e Magjistraturës Specialist në administratën e Këshillit Kombëtar të Kontabilitetit
Sekretar i kualifikimit shkencor në Shkollën e Magjistraturës, Klasifikator dhe kryebibliotekar në universitete dhe shkollat e tjera të larta
Bibliograf në universitete dhe shkollat e tjera të larta dhe Shkollën e Magjistraturës</t>
  </si>
  <si>
    <t>Specialist
Informaticien në Qendrën e Publikimeve Zyrtare
Informaticien në Qendrën Kombëtare të Regjistrimit.
Korrektor i Qendrës së Publikimeve Zyrtare
Kurator, Inspektor Bibliograf, Klasifikator, Bibliotekar, Restaurator, Lektor, Administrator, Redaktor, Studiues
Mjek në Teatrin Kombëtar, Teatrin Kombëtar të Opreas,
Baletit dhe Ansamblit Popullor Bibliotekar në Bibliotekën Shkencore të universitetit
Bibliotekar në bibliotekën e fakultetit dhe Akademisë së
Mbrojtjes
Laborant me arsim të lartë në universitete dhe shkollat e
tjera të larta
Sekretar mësimor
Sekretar i Këshillit Kombëtar të Kontabilitetit
Mjek në Qendrën Kulturore të Ushtrisë</t>
  </si>
  <si>
    <t>VENDIM
Nr.550, datë 11.8.2011
PËR DISA NDRYSHIME NË VENDIMIN NR.748, DATË 11.6.2009 TË KËSHILLIT TË
MINISTRAVE “PËR TRAJTIMIN ME PAGË DHE SHTESA MBI PAGË TË PUNONJËSVE
TË PERSONELIT AKADEMIK TË INSTITUCIONEVE PUBLIKE TË ARSIMIT TË
LARTË”, TË NDRYSHUAR</t>
  </si>
  <si>
    <t>VENDIM Nr.717, datë 23.6.2009                                   PËR PAGAT E PUNONJËSVE MBËSHTETËS TË INSTITUCIONEVE BUXHETORE DHE TË NËPUNËSVE TË DISA INSTITUCIONEVE BUXHETORE   -------------------VENDIM
Nr.551, datë 11.8.2011
PËR DISA SHTESA DHE NDRYSHIME NË VENDIMIN NR.717, DATË 23.6.2009 TË
KËSHILLIT TË MINISTRAVE “PËR PAGAT E PUNONJËSVE MBËSHTETËS TË
INSTITUCIONEVE BUXHETORE DHE TË NËPUNËSVE TË DISA INSTITUCIONEVE
BUXHETORE”, TË NDRYSHUAR</t>
  </si>
  <si>
    <t>Shpenzime per kuota qe rrjedhin nga detyrimet</t>
  </si>
  <si>
    <t>Shpenzime per pritje e percjellje</t>
  </si>
  <si>
    <t>Shpenzime per aktivitete sociale per personelin</t>
  </si>
  <si>
    <t>Shpenzime gjyqesore</t>
  </si>
  <si>
    <t>Shpenzime per honorare</t>
  </si>
  <si>
    <t>Shpenzime kompesimi per anetaret e Parlamentit dhe zyrtare te tjera te zgjedhur</t>
  </si>
  <si>
    <t>Shpenzime per pjesmarrje ne konferenca</t>
  </si>
  <si>
    <t>Shpenzime per tatime &amp; taksa te paguara nga institucioni</t>
  </si>
  <si>
    <t>Shpenzime per terheqjen e limitit te arkes</t>
  </si>
  <si>
    <t>Shpenzime te tjera lidhur me huamarrjen</t>
  </si>
  <si>
    <r>
      <t>Shpenzime per sigurimin e n</t>
    </r>
    <r>
      <rPr>
        <sz val="8"/>
        <color indexed="8"/>
        <rFont val="Times New Roman CE"/>
      </rPr>
      <t>dertesave dhe te tjera kosto sigurimi te ngjashme</t>
    </r>
  </si>
  <si>
    <r>
      <t>Shpenzime per m</t>
    </r>
    <r>
      <rPr>
        <b/>
        <sz val="8"/>
        <color indexed="8"/>
        <rFont val="Times New Roman"/>
        <family val="1"/>
      </rPr>
      <t>irembajtje te zakonshme</t>
    </r>
  </si>
  <si>
    <r>
      <t>Shpenzime per qe</t>
    </r>
    <r>
      <rPr>
        <b/>
        <sz val="8"/>
        <color indexed="8"/>
        <rFont val="Times New Roman"/>
        <family val="1"/>
      </rPr>
      <t>ramarrje</t>
    </r>
  </si>
  <si>
    <r>
      <t>Shpenzime per d</t>
    </r>
    <r>
      <rPr>
        <b/>
        <sz val="8"/>
        <color indexed="8"/>
        <rFont val="Times New Roman"/>
        <family val="1"/>
      </rPr>
      <t>etyrime dhe kompensime legale</t>
    </r>
  </si>
  <si>
    <t>Shpenzime per mirembajtjen e rrugeve, veprave ujore dhe rrjeteve hidraulike, elektrike, etj</t>
  </si>
  <si>
    <r>
      <t>Shpenzime per mirembajtjen e</t>
    </r>
    <r>
      <rPr>
        <sz val="8"/>
        <color indexed="8"/>
        <rFont val="Times New Roman"/>
        <family val="1"/>
      </rPr>
      <t xml:space="preserve"> paisjeve te zyrave</t>
    </r>
  </si>
  <si>
    <t xml:space="preserve">Pershkrimi i </t>
  </si>
  <si>
    <t>Subvencione per diference cmimi</t>
  </si>
  <si>
    <t>Subvencione per transportin urban te autobuzave</t>
  </si>
  <si>
    <t>Subvencione per transportin hekurudhor</t>
  </si>
  <si>
    <t>Subvencione per strehim</t>
  </si>
  <si>
    <t>Subvencione per cmimin e librave shkollore</t>
  </si>
  <si>
    <t>Subvencion per energjine elektrike te importuar</t>
  </si>
  <si>
    <t>Subvencione per furnizimin me uje te pijshem</t>
  </si>
  <si>
    <t>Subvencione te tjera te ngjashme</t>
  </si>
  <si>
    <t>Subvencion per te nxitur punesimin</t>
  </si>
  <si>
    <t>Subvencione per furnizimin me uje per vaditje</t>
  </si>
  <si>
    <t>Subvencion per Ndermarrjet e Ujesjellesit</t>
  </si>
  <si>
    <t>Te tjera subvencione sipas perfituesve</t>
  </si>
  <si>
    <t>Subvencion per sipermarrjet individuale</t>
  </si>
  <si>
    <t>Subvencione te tjera</t>
  </si>
  <si>
    <t>Subvencione per Ndermarrjet e Trajtimit te Studenteve</t>
  </si>
  <si>
    <t xml:space="preserve">Subvencione per te mbuluar humbjet </t>
  </si>
  <si>
    <t>Destinacionit(Perfituesit)*</t>
  </si>
  <si>
    <t>dhe ujesjellesi Kruje,  te behet detajimi vec e vec per te dy destinacionet me vlerat perkatese duke ndare nenartikullin 603.06 ne dy nen-nenartikuj 603.061 dhe 603.062.</t>
  </si>
  <si>
    <t xml:space="preserve">*-Per destinacione te ndryshme brenda nje nen-artikulli te detajohen shumat vec e vec per cdo destinacion. Pra p.sh. nese brenda nen artikullit "603.06-Subvencione per furnizimin me uje" jane dy destinacione te ndryshme Ujesjellesi Lezhe </t>
  </si>
  <si>
    <t>Transferime korrente tek nivele te tjera te Qeverise</t>
  </si>
  <si>
    <t>Transferime korrente tek Institucione Qeveritare te Ndryshme</t>
  </si>
  <si>
    <t>Kompensim per pensionistet per diferenca çmimi</t>
  </si>
  <si>
    <t>Per pensione te veçanta shteterore</t>
  </si>
  <si>
    <t>Per kompensim suplementar per ish te persekutuarit</t>
  </si>
  <si>
    <t>Per kompensim suplementar per veteranet e luftes</t>
  </si>
  <si>
    <t>Per kompensim suplementar per invalidet e punes</t>
  </si>
  <si>
    <t>Transferime per te mbuluar defiçitin e Fondit te Sigurimeve Shoqerore</t>
  </si>
  <si>
    <t>Transferime per Sigurimin Suplementar te Ushtarakeve</t>
  </si>
  <si>
    <t>Transferime per pensionet suplementare shteterore</t>
  </si>
  <si>
    <t>Transferime per pagesat e parakohshme per minatoret</t>
  </si>
  <si>
    <t>Transferime speciale tek ISKSH</t>
  </si>
  <si>
    <t>Transferime per te mbuluar defiçitin e ISKSH</t>
  </si>
  <si>
    <t>Transferime per ushtaret</t>
  </si>
  <si>
    <t>Transferime te buxhetit per te papunet</t>
  </si>
  <si>
    <t>Transferime per ushtarake ne reforme dhe pensione te parakohshme</t>
  </si>
  <si>
    <t>Transferime per sigurimin e ishfunksionareve ne pagese kalimtare</t>
  </si>
  <si>
    <t>Transferime per diference kontributi per fermeret</t>
  </si>
  <si>
    <r>
      <t>Transferta per Albafilmin</t>
    </r>
    <r>
      <rPr>
        <b/>
        <sz val="12"/>
        <rFont val="MS Sans Serif"/>
        <family val="2"/>
      </rPr>
      <t>.</t>
    </r>
  </si>
  <si>
    <t>Transferta per Radio-Televizonin Publik.</t>
  </si>
  <si>
    <t>Transferta per Institutin e Mjeteve Mateseve dhe Kalibrimi.</t>
  </si>
  <si>
    <r>
      <t>Transferime per te mbuluar rritjen ne perfituesit e sigurimeve</t>
    </r>
    <r>
      <rPr>
        <sz val="8"/>
        <rFont val="Times New Roman"/>
        <family val="1"/>
      </rPr>
      <t xml:space="preserve"> shoqerore  </t>
    </r>
  </si>
  <si>
    <t>Transferime tek organizatat jo-fitimprurese</t>
  </si>
  <si>
    <t>Transfertat korrente tek Sigurimet Shoqerore dhe Shendetesor</t>
  </si>
  <si>
    <t xml:space="preserve">*-Per destinacione te ndryshme brenda nje nen-artikulli te detajohen shumat vec e vec per cdo destinacion. Pra p.sh. nese brenda nen artikullit "604.4009-Transferta per partite politike" jane dy destinacione te ndryshme Partia Demokratike  </t>
  </si>
  <si>
    <t>dhe Partia Socialiste,  te behet detajimi vec e vec per te dy destinacionet me vlerat perkatese duke ndare nenartikullin 604.4009 ne dy nen-nenartikuj 604.40091- Partia Demokratike dhe 604.40092-Partia Socialiste</t>
  </si>
  <si>
    <t>Grante per Komisionin e letrave me vlere.</t>
  </si>
  <si>
    <t>Transferime korrente per organizatat nderkombetare</t>
  </si>
  <si>
    <t>Kombet e Bashkuara</t>
  </si>
  <si>
    <t>Banka Boterore</t>
  </si>
  <si>
    <t>Kompensim per pa-aftesi te perkohshme per shkak te semundjes</t>
  </si>
  <si>
    <t>Kompensim per pa-aftesi te perkoheshme per shkak te demtimit ne pune</t>
  </si>
  <si>
    <t>Kompesim per leje lindje</t>
  </si>
  <si>
    <t>Grant per femije te lindur</t>
  </si>
  <si>
    <t>Pensione per moshe madhore</t>
  </si>
  <si>
    <t>Pension pa-aftesie</t>
  </si>
  <si>
    <t>Pension mbijetese</t>
  </si>
  <si>
    <t>Kompensim suplementar per çmimin per pensionistet</t>
  </si>
  <si>
    <t>Pensione te veçanta shteterore</t>
  </si>
  <si>
    <t>Kompensim suplementar per ish te persekutuarit</t>
  </si>
  <si>
    <t>Kompensim per veteranet e luftes</t>
  </si>
  <si>
    <t>Kompensim suplementar per invalidet e punes</t>
  </si>
  <si>
    <t>Shperblim per ish-ushtaraket</t>
  </si>
  <si>
    <t>Kompensim per deshmoret e luftes</t>
  </si>
  <si>
    <t>Pagesa te parakohshme per minatoret.</t>
  </si>
  <si>
    <t>Pagesa per sherbime mjeksore dhe dentare</t>
  </si>
  <si>
    <t>Pagesa per produkte farmaceutike</t>
  </si>
  <si>
    <t>Kompensim papunesie per personat e siguruar</t>
  </si>
  <si>
    <t>Ndihme ekonomike</t>
  </si>
  <si>
    <t>Pagese paaftesie</t>
  </si>
  <si>
    <t>Transferte per mbulimin e  perqindjeve te normave te interesave bankare</t>
  </si>
  <si>
    <t>Bursa</t>
  </si>
  <si>
    <t>Grante per artistet, producentet e filmave dhe shkrimtaret</t>
  </si>
  <si>
    <t xml:space="preserve">Transferta per Buxhetet familjare dhe individet te paguara nga Institucione te tjera </t>
  </si>
  <si>
    <r>
      <t>T</t>
    </r>
    <r>
      <rPr>
        <b/>
        <sz val="8"/>
        <rFont val="Times New Roman"/>
        <family val="1"/>
      </rPr>
      <t>ransferta per buxhetet familiare dhe individet te paguara nga I.S.SH dhe I.S.K.SH</t>
    </r>
  </si>
  <si>
    <r>
      <t>Sigurim suplementar shteteror per ish-funksionare</t>
    </r>
    <r>
      <rPr>
        <sz val="8"/>
        <rFont val="Times New Roman"/>
        <family val="1"/>
      </rPr>
      <t>t</t>
    </r>
  </si>
  <si>
    <t>Shpenzime per situata te veshtira dhe  per fatekeqesi (te specifikohet)</t>
  </si>
  <si>
    <t>Te tjera transferta tek individet (te specifikohet)</t>
  </si>
  <si>
    <t>Kompensime speciale te tjera (te specifikohet)</t>
  </si>
  <si>
    <t>Grante per familjet per shpenzime funerale (te detajohet me emra)</t>
  </si>
  <si>
    <t>Transferime tek Organet e Pushtetit Vendor (te detajohet)</t>
  </si>
  <si>
    <t>Transferime tek Keshillat e Qarkut (te detajohet)</t>
  </si>
  <si>
    <t>Te tjera transferime (te detajohet)</t>
  </si>
  <si>
    <t>Transferta per shoqerite e jetimeve.(te detajohet)</t>
  </si>
  <si>
    <t>Transfeta per shoqerite e te verberve.(te detajohet)</t>
  </si>
  <si>
    <t>Transferta per shoqerite e invalideve te luftes.(te detajohet)</t>
  </si>
  <si>
    <t>Transferta per shoqerite e invalideve te punes (te detajohet)</t>
  </si>
  <si>
    <t>Transferta per klubet dhe asociacionet e sportit.(te detajohet)</t>
  </si>
  <si>
    <t>Transferta per partite politike (te detajohet)</t>
  </si>
  <si>
    <t>Te tjera transferta per institucionet jo-fitim prurese (te detajohet)</t>
  </si>
  <si>
    <t>Organizatat nderkombetare te tjera (te detajohet)</t>
  </si>
  <si>
    <r>
      <t xml:space="preserve">Transferime korrente per qeverite e huaja </t>
    </r>
    <r>
      <rPr>
        <sz val="8"/>
        <rFont val="Times New Roman CE"/>
      </rPr>
      <t>(te detajohet)</t>
    </r>
  </si>
  <si>
    <r>
      <t xml:space="preserve">Transferime korrente per institucionet jo-fitimprurese te huaja </t>
    </r>
    <r>
      <rPr>
        <sz val="8"/>
        <rFont val="Times New Roman CE"/>
      </rPr>
      <t>(te detajohet)</t>
    </r>
  </si>
  <si>
    <r>
      <t xml:space="preserve">Te tjera transferime korrente jashte shtetit </t>
    </r>
    <r>
      <rPr>
        <sz val="8"/>
        <rFont val="Times New Roman CE"/>
      </rPr>
      <t>(te detajohet)</t>
    </r>
  </si>
  <si>
    <t>&lt;&lt;PLANIFIKIM MENAXHIM&gt;&gt;</t>
  </si>
  <si>
    <t>&lt;&lt;Arsimi Baze +Parshkollori&gt;&gt;</t>
  </si>
  <si>
    <t>&lt;&lt;Arsimi I Mesem I Pergjithshem&gt;&gt;</t>
  </si>
  <si>
    <t>shtese kontrate</t>
  </si>
  <si>
    <t>I-b</t>
  </si>
  <si>
    <t>III-a/1</t>
  </si>
  <si>
    <t>Specialist</t>
  </si>
  <si>
    <t>IV-b</t>
  </si>
  <si>
    <t>IV-c</t>
  </si>
  <si>
    <t>Drejtor i shkollës së mesme/ Përgjegjës poligoni/ Drejtor i institutit të nxënësve që nuk shikojnë/ Drejtor i institutit të nxënësve që nuk dëgjojnë/ Drejtor në shkollat me probleme të larta / Drejtor i konviktevemendore</t>
  </si>
  <si>
    <t>Zv.drejtor i shkollës së mesme/ Përgjegjës i bazës prodhuese/ Zv.drejtor i institutit të nxënësve që nuk shikojnë/ që nuk dëgjojnë/ Zv.drejtor në shkollat me probleme të larta mendore/ Drejtor i Qendrës Kulturore të Fëmijëve</t>
  </si>
  <si>
    <t>Drejtor i shkollës fillore, klasa I-IV/ Përgjegjës (kryemësues) i shkollës  me klasë kolektive/ Zëvendësdrejtor i shkollës 8-vjeçare/</t>
  </si>
  <si>
    <t>Per punonjes Shkencor</t>
  </si>
  <si>
    <t>IV</t>
  </si>
  <si>
    <t>V</t>
  </si>
  <si>
    <t>VI</t>
  </si>
  <si>
    <t>VII</t>
  </si>
  <si>
    <t>IX</t>
  </si>
  <si>
    <t>X</t>
  </si>
  <si>
    <t>XI</t>
  </si>
  <si>
    <t>XII</t>
  </si>
  <si>
    <t>XIII</t>
  </si>
  <si>
    <t>Drejtor</t>
  </si>
  <si>
    <t>XIV</t>
  </si>
  <si>
    <t>b/2-Lektor i parëë, zv/Dekan</t>
  </si>
  <si>
    <t xml:space="preserve">Fondi I vecante </t>
  </si>
  <si>
    <t>B</t>
  </si>
  <si>
    <t xml:space="preserve">C </t>
  </si>
  <si>
    <t>D</t>
  </si>
  <si>
    <t>E</t>
  </si>
  <si>
    <t>F</t>
  </si>
  <si>
    <t>G</t>
  </si>
  <si>
    <t>H</t>
  </si>
  <si>
    <t>J</t>
  </si>
  <si>
    <t>K</t>
  </si>
  <si>
    <t xml:space="preserve">Tabela 1. Elemente te pages te njejta per te gjithe grupet/klasat </t>
  </si>
  <si>
    <t xml:space="preserve">Tabela 2: Nivelet e pages se grupit dhe pages per pozicion sipas kategorive te sherbimit civil </t>
  </si>
  <si>
    <t>Niveli Ekzistues</t>
  </si>
  <si>
    <t>Rritja ne %</t>
  </si>
  <si>
    <t>Rritja ne vlere absolute</t>
  </si>
  <si>
    <t>Ndryshime ne nivelin ekzistues ( +/-)</t>
  </si>
  <si>
    <t>Niveli I Ri</t>
  </si>
  <si>
    <t xml:space="preserve">Tavani reference i nivelit vjetor te pagave - per llogaritjen e sigurimeve shoqerore  </t>
  </si>
  <si>
    <t xml:space="preserve">Pagat e grupit </t>
  </si>
  <si>
    <t xml:space="preserve">Paga mujore si tavan reference - per llogaritjen e sigurimeve shoqerore  </t>
  </si>
  <si>
    <t xml:space="preserve">1. Diploma me shkolle te larte </t>
  </si>
  <si>
    <t>Kontributi I sigurimeve shoqerore</t>
  </si>
  <si>
    <t xml:space="preserve">2. Diplome me shkolle te mesme </t>
  </si>
  <si>
    <t xml:space="preserve">3. Diplome e shkolles tetevjecare </t>
  </si>
  <si>
    <t xml:space="preserve">4. Deftese lirimi ( aresim tetevjecar) </t>
  </si>
  <si>
    <r>
      <t xml:space="preserve">KUJDES ! </t>
    </r>
    <r>
      <rPr>
        <b/>
        <sz val="12"/>
        <color indexed="12"/>
        <rFont val="Arial"/>
        <family val="2"/>
      </rPr>
      <t xml:space="preserve">                                                                  Shifrat ne n</t>
    </r>
    <r>
      <rPr>
        <b/>
        <u/>
        <sz val="12"/>
        <color indexed="12"/>
        <rFont val="Arial"/>
        <family val="2"/>
      </rPr>
      <t>gjyre blu</t>
    </r>
    <r>
      <rPr>
        <b/>
        <sz val="12"/>
        <color indexed="12"/>
        <rFont val="Arial"/>
        <family val="2"/>
      </rPr>
      <t xml:space="preserve"> ne pjeset e selektuara me </t>
    </r>
    <r>
      <rPr>
        <b/>
        <u/>
        <sz val="12"/>
        <color indexed="12"/>
        <rFont val="Arial"/>
        <family val="2"/>
      </rPr>
      <t>ngjyre jeshile</t>
    </r>
    <r>
      <rPr>
        <b/>
        <sz val="12"/>
        <color indexed="12"/>
        <rFont val="Arial"/>
        <family val="2"/>
      </rPr>
      <t xml:space="preserve"> jane pjese e formulave. Ndryshimi i tyre sjell automatikisht ndryshimin e shifrave ne te gjithe bazen e te dhenave</t>
    </r>
  </si>
  <si>
    <t xml:space="preserve">Pagat per pozicion sipas grupeve perkatese </t>
  </si>
  <si>
    <t>I-a</t>
  </si>
  <si>
    <t xml:space="preserve">III-a </t>
  </si>
  <si>
    <t>VI-c</t>
  </si>
  <si>
    <t xml:space="preserve">Tabela 3. TABELA PERMBLEDHESE E SISTEMEVE TE PAGAVE PER ADMINISTRATEN QENDRORE </t>
  </si>
  <si>
    <t>Nr. Ref</t>
  </si>
  <si>
    <t>EMERTIMI I FUNKSIONEVE</t>
  </si>
  <si>
    <t>Funksioni/Kategoria/Klasat</t>
  </si>
  <si>
    <t>Legjislacioni rregullues I pagave</t>
  </si>
  <si>
    <t>Paga grupit/klases</t>
  </si>
  <si>
    <t>Paga per pozicion</t>
  </si>
  <si>
    <t xml:space="preserve">Pagat per Funksionet Politike </t>
  </si>
  <si>
    <t xml:space="preserve">Presidenti </t>
  </si>
  <si>
    <t>A</t>
  </si>
  <si>
    <t xml:space="preserve">Kryetari I Kuvendit </t>
  </si>
  <si>
    <t xml:space="preserve"> Koeficienti I llogaritjes se pagave  per kete grup ne raport me pagen e presidentit 0.89</t>
  </si>
  <si>
    <t>Kryeministri</t>
  </si>
  <si>
    <t>Kryetari I Gjykates Kushtetuese</t>
  </si>
  <si>
    <t>Zv. Kryetar I Kuvendit</t>
  </si>
  <si>
    <t>Koeficieti 0.73</t>
  </si>
  <si>
    <t xml:space="preserve">Zv.Kryeminister </t>
  </si>
  <si>
    <t>Avokat I Popullit</t>
  </si>
  <si>
    <t>Kryetar I KLSH</t>
  </si>
  <si>
    <t>Kryetar/Zv.Kryeatar I KQZ</t>
  </si>
  <si>
    <t>Gjyqtar I Gjykates Kushtetuese</t>
  </si>
  <si>
    <t>Minister</t>
  </si>
  <si>
    <t>C</t>
  </si>
  <si>
    <t>Koeficienti 0.68</t>
  </si>
  <si>
    <t>Inspektor I Pergjithshem I ILDVPasurive</t>
  </si>
  <si>
    <t xml:space="preserve">Zv/Kryetar I KLD-se </t>
  </si>
  <si>
    <t>Deputet</t>
  </si>
  <si>
    <t>Koeficienti 0.61</t>
  </si>
  <si>
    <t>Kryetar I KSHC</t>
  </si>
  <si>
    <t>Koeficienti 0.6</t>
  </si>
  <si>
    <t>Kr. I Bordit te Mbikqyrjes Financiare</t>
  </si>
  <si>
    <t>Kr.I Autoritetit te Konkurences</t>
  </si>
  <si>
    <t>Kryetar I ERRT</t>
  </si>
  <si>
    <t>Kryetar I ERRE</t>
  </si>
  <si>
    <t>Kryetar I ERRUjrave</t>
  </si>
  <si>
    <t>Kryetar I Keshillit Kombetar te RTV</t>
  </si>
  <si>
    <t>Anetar I KQZ</t>
  </si>
  <si>
    <t>Avokati I Prokurimeve</t>
  </si>
  <si>
    <t>Anetar I KSHC</t>
  </si>
  <si>
    <t>Koeficienti 0.55</t>
  </si>
  <si>
    <t>Komisioner I Avikatit Popullit</t>
  </si>
  <si>
    <t>Anetaret e Bordit te Mbykqyrjes Financiare</t>
  </si>
  <si>
    <t>Zv/Kryetar I Keshilit te RTV</t>
  </si>
  <si>
    <t>Koeficient 0.45</t>
  </si>
  <si>
    <t>Anetar I ERRT</t>
  </si>
  <si>
    <t>Anetareve te ERR Ujrave</t>
  </si>
  <si>
    <t>Anetar I ERRE</t>
  </si>
  <si>
    <t>Autoriteti I Komisionit te Konkurences</t>
  </si>
  <si>
    <t xml:space="preserve">Zv/Minister / Shef I Protokollit te KM / Drejtori I Kabinetit te ZV/Kryeministrit </t>
  </si>
  <si>
    <t xml:space="preserve">VKM 475 dt.13.7.2007 " Miratimi I struktures sdhe niveleve te pagave per: </t>
  </si>
  <si>
    <t>Sekretar I :Kryeministrit, Presidentit,Kryetarit Kuvendid,   Zv.Kryeministrit, NenKryeta Kuvendit</t>
  </si>
  <si>
    <t xml:space="preserve">1. nepunesit civile/ 2. Zv/Ministrat dhe punonjesit e kabineteve/ Ministrite e Linjes / Administrata e Presidentet/ Kuvendit/ KQZ-je </t>
  </si>
  <si>
    <t xml:space="preserve">Sekretar i :Ministrit, Keshilltarit Presidentit </t>
  </si>
  <si>
    <t xml:space="preserve">Klasifikimi me page grupi </t>
  </si>
  <si>
    <t>Drejtori I Kabinetit ne KM/ Sekretar i Pergjithshem KM/ / SP Avokatit te Popullit</t>
  </si>
  <si>
    <t>Ndihmesi I KM/ Keshilltar I Zv/KM/ Sekretar i Pergjithshem Ministri/ Drejtor Departamenti ne KM/ Drejtor I DAP/ZV DP Pastrimit te parave</t>
  </si>
  <si>
    <t>Ndihmesi I Zv/KM/ Drejtor Kabineti I Ministrit/ Drejtor i Pergjithshem / Ndihmes Komisioner I Av.Pop. Kat I/ DP. Taksave /DP.Pastrimit Parave</t>
  </si>
  <si>
    <t>Specialist ne zyrat e ZRPP/ne zyrat arsimore rajonale</t>
  </si>
  <si>
    <t xml:space="preserve">III.2 </t>
  </si>
  <si>
    <t xml:space="preserve">Lidhja II/M </t>
  </si>
  <si>
    <t>Paga bazë për punonjesit e ministrive, institucioneve te tjera qendrore dhe prefekturave</t>
  </si>
  <si>
    <t>Kafaz i salloneve të pritjes (MPJ)// Portier. Pastrues. Korrier</t>
  </si>
  <si>
    <t xml:space="preserve"> Nëpunës informacioni</t>
  </si>
  <si>
    <t xml:space="preserve">Punëtor </t>
  </si>
  <si>
    <t>Shofer/ Magazinier/ Daktilografist / Shaptilografiste/ Fotokopjuese/ Arkëtar/ Korrier diplomatik (MPJ)/ Shpërndarës shifre (MPJ)/ Spedicioner (MPJ)/Punetor</t>
  </si>
  <si>
    <r>
      <t xml:space="preserve">Përgjegjës ofiçine </t>
    </r>
    <r>
      <rPr>
        <b/>
        <sz val="8"/>
        <color indexed="8"/>
        <rFont val="Arial"/>
        <family val="2"/>
      </rPr>
      <t>e</t>
    </r>
    <r>
      <rPr>
        <sz val="8"/>
        <rFont val="Arial"/>
        <family val="2"/>
      </rPr>
      <t xml:space="preserve"> transporti/ Operator I terminaleve/ Llogaritar </t>
    </r>
  </si>
  <si>
    <t xml:space="preserve">Përgjegjës administrate / Arkivist. Protokollist/Llogaritar I I-re/ Perkthyes/ Shifrant (MPJ)/ </t>
  </si>
  <si>
    <t>Specialist i parë/ Inspektor i parë/ Specialist i dytë/ Inspektor i dytë/Arkivist. Protokollist</t>
  </si>
  <si>
    <t>VIII</t>
  </si>
  <si>
    <t>Shef Sektori / Kryetar Dege Përgjegjës Zyre</t>
  </si>
  <si>
    <t xml:space="preserve">Sekretari Komisionit të Kualifikimit Shkencor/Kryesekretar i Shkollës së Magjistraturës
</t>
  </si>
  <si>
    <t xml:space="preserve">Administratata e Prefektit </t>
  </si>
  <si>
    <t>Prefekti I Qarkut Tirane</t>
  </si>
  <si>
    <t>VENDIM,  Nr. 441 datë 13.7.2007</t>
  </si>
  <si>
    <t xml:space="preserve">Prefekte te qarqeve te tjera </t>
  </si>
  <si>
    <t xml:space="preserve">Nenprefekt Kavaja &amp; Lushnja </t>
  </si>
  <si>
    <t xml:space="preserve"> Nënprefekt i Krujës,Pogradecit, Librazhdit,Tepelenës,Përmetit, Matit,  Sarandës, Pukës, Tropojës dhe Skraparit</t>
  </si>
  <si>
    <t>Nënprefekt i Malësisë së Madhe, Bulqizës, Peqinit, Gramshit,Devollit, Mallakastrës, Hasit, Kuçovës, Mirditës, Delvinës,Kurbinit dhe Kolonjës</t>
  </si>
  <si>
    <t xml:space="preserve">Këshilltar i prefektit të Tiranës </t>
  </si>
  <si>
    <t xml:space="preserve">Zëdhënës i prefektit të Tiranës </t>
  </si>
  <si>
    <t xml:space="preserve">Renditja e Funksioneve Sipas Klasifikimit </t>
  </si>
  <si>
    <t xml:space="preserve">III.1 </t>
  </si>
  <si>
    <t>Lidhja 1</t>
  </si>
  <si>
    <t>Kryetar i Akademisë së Shkencave</t>
  </si>
  <si>
    <t>VKM Nr. 403, datë 14.6.2006</t>
  </si>
  <si>
    <t>Zëvendëskryetar i Akademisë së Shkencave</t>
  </si>
  <si>
    <t>Akademik</t>
  </si>
  <si>
    <t>Profesor ne Universitete e Shkola te alrta, institucione kerkimore shkencore te AKSH dhe qendrave spitalore universitare/Keshilltar I Shefit te Shtabit te Pergj., FA</t>
  </si>
  <si>
    <t xml:space="preserve">Profesor I associuar ne Universitete e Shkola te alrta, institucione kerkimore shkencore te AKSH dhe qendrave spitalore universitare/Keshilltar I Kruetarit  te Gjykates se Larte / Keshilltar Prokurorit te Pergjithshem </t>
  </si>
  <si>
    <t xml:space="preserve">Profesor në institutet kërkimore shkencore në varësi të ministrive/Lektor/Punonjës kërkimor në institutet kërkimore shkencore të sistemit të Akademisë së Shkencave  </t>
  </si>
  <si>
    <t>Profesor i asociuar në institutet kërkimore shkencore ne varesi te ministrive/Pedagog/Kërkues në institutet kërkimore shkencore të sistemit të Akademisë së Shkencave/Rektor pa titull/grade shkencore</t>
  </si>
  <si>
    <t>Asistent në shkollat e larta,institucionet kerkimore shkencore teASH dhe Qendrat Spitalore/Drejtor drejtorie Shkolla e Magjistratures.</t>
  </si>
  <si>
    <t>Punonjës kërkimor në institutet kërkimore shkencore në varësi të ministrive/Përgjegjës sektori në Prokurorinë e Përgjithshme/Inspektor kontrolli në Prokurorinë e Përgjithshme/Përkthyes në Prokurorinë e Përgjithshme</t>
  </si>
  <si>
    <t>C1</t>
  </si>
  <si>
    <t>Kërkues në institutet kërkimore shkencore në varësi të ministrive/Informaticien në Gjykatat e shkallës së parë dhe në Gjykatat e Apelit</t>
  </si>
  <si>
    <t>C2</t>
  </si>
  <si>
    <t>Asistent në institutet kërkimore shkencore në varësi të ministrive</t>
  </si>
  <si>
    <t>C3</t>
  </si>
  <si>
    <t>Sekretar i Kancelarit të Gjykatës së Lartë</t>
  </si>
  <si>
    <t>III.</t>
  </si>
  <si>
    <t xml:space="preserve">Paga me klasa </t>
  </si>
  <si>
    <t>Lidhja II - Paga baze sipas klasave</t>
  </si>
  <si>
    <t>VKM Nr. 477, datë 13.7.2007</t>
  </si>
  <si>
    <t xml:space="preserve">III.3 </t>
  </si>
  <si>
    <t xml:space="preserve">Keshilli I Larte I Drejtesise </t>
  </si>
  <si>
    <t>VKM 444 Dt.13.7.2007</t>
  </si>
  <si>
    <t>II -b</t>
  </si>
  <si>
    <t xml:space="preserve">Punonjesit Ushtarake te Sherbimi Pyjor </t>
  </si>
  <si>
    <t xml:space="preserve">Lidhja 1 </t>
  </si>
  <si>
    <t>455 dt 18.7.2007 " Pagat dhe shtesat mbi page te punonjesve te sherbimit pyjor</t>
  </si>
  <si>
    <t xml:space="preserve">Pika 2. Punojesve te ketij sherbimi qe paguhen sipas kesaj lidhjeje, per cdo vit pune u jepet shtese mbi pagat ne masen 1% , per cdo vit pune deri ne 25 vjet. </t>
  </si>
  <si>
    <t>Per funksione drejtuese shtese 5-40 %</t>
  </si>
  <si>
    <t>XV</t>
  </si>
  <si>
    <t>XVI</t>
  </si>
  <si>
    <t>XVII</t>
  </si>
  <si>
    <t>XVIII</t>
  </si>
  <si>
    <t>XIX</t>
  </si>
  <si>
    <t>XX</t>
  </si>
  <si>
    <t>XXI</t>
  </si>
  <si>
    <t>XXII</t>
  </si>
  <si>
    <t>XXIII</t>
  </si>
  <si>
    <t xml:space="preserve">III.C </t>
  </si>
  <si>
    <t>SHISH</t>
  </si>
  <si>
    <t xml:space="preserve">Shtesa per grade ekzistuese </t>
  </si>
  <si>
    <t xml:space="preserve">Propozime per ndryshimin e % </t>
  </si>
  <si>
    <t>Shtesa e Re</t>
  </si>
  <si>
    <t xml:space="preserve">Punonjes mbeshtetes </t>
  </si>
  <si>
    <t xml:space="preserve">VKM  432 dt 13.7.2007 " Klasifikimi I Funksioneve , trajtimi me page dhe shtesa mbi per punonjesit ne sherbimin informativ te shtetit </t>
  </si>
  <si>
    <t>I.4</t>
  </si>
  <si>
    <t>I.5</t>
  </si>
  <si>
    <t xml:space="preserve">Punonjes te nivelit zbatues </t>
  </si>
  <si>
    <t>Punonjes te nivelit drejtues te mesem</t>
  </si>
  <si>
    <t xml:space="preserve">Punonjes te nivelit drejtues te larte </t>
  </si>
  <si>
    <t>IV.1</t>
  </si>
  <si>
    <t>IV.2</t>
  </si>
  <si>
    <t xml:space="preserve">Inspektor I Pergjithshem </t>
  </si>
  <si>
    <t xml:space="preserve">POLICIA </t>
  </si>
  <si>
    <t>Sistemi I Policise sipas gradave</t>
  </si>
  <si>
    <t xml:space="preserve">Shtesat e pagave </t>
  </si>
  <si>
    <t>Shtesa e Propozuar</t>
  </si>
  <si>
    <t>Ndryshime ne nivelin ekzistues      ( +/-)</t>
  </si>
  <si>
    <t>Madhor</t>
  </si>
  <si>
    <t xml:space="preserve">VKM 437 dt.13.7.2007 " Sistemi I Burgjeve" </t>
  </si>
  <si>
    <t>Drejtues</t>
  </si>
  <si>
    <t xml:space="preserve">VKM 438 td.13.7.2007 " Policia e Mbrojtjes nga Zjarri </t>
  </si>
  <si>
    <t>Drejtues i I-rë</t>
  </si>
  <si>
    <t xml:space="preserve">VKM 450 dt.18.7.2007 " Policia e Shtetit " </t>
  </si>
  <si>
    <t>I lartë</t>
  </si>
  <si>
    <t>Nënkomisar</t>
  </si>
  <si>
    <t>Komisar</t>
  </si>
  <si>
    <r>
      <t>Shenim:</t>
    </r>
    <r>
      <rPr>
        <b/>
        <sz val="8"/>
        <rFont val="Arial"/>
        <family val="2"/>
      </rPr>
      <t xml:space="preserve"> ne kete tabele perfshihen vetem te dhenat per pagen sipas gradave. Ne ministrite perkatese jepen te detajuara shtesat qe aplikohen per secilin institucion me vete</t>
    </r>
  </si>
  <si>
    <t>Kryekomisar</t>
  </si>
  <si>
    <t>I mesëm</t>
  </si>
  <si>
    <t>Nëninspektor</t>
  </si>
  <si>
    <t>Inspektor</t>
  </si>
  <si>
    <t>Kryeinspektor</t>
  </si>
  <si>
    <t>Agjent</t>
  </si>
  <si>
    <t xml:space="preserve">Agjent </t>
  </si>
  <si>
    <t>Agjenti i I-rë</t>
  </si>
  <si>
    <t>Asistent</t>
  </si>
  <si>
    <t>Shpenzime per te tjera materiale dhe sherbime operative</t>
  </si>
  <si>
    <t>09450</t>
  </si>
  <si>
    <t>Studime projektime</t>
  </si>
  <si>
    <t>Rikonstruksione</t>
  </si>
  <si>
    <t>Paisje inventar ekonomik</t>
  </si>
  <si>
    <t>Paisje profesionale</t>
  </si>
  <si>
    <t>Ndërtime të reja</t>
  </si>
  <si>
    <t>Kërkim shkencor</t>
  </si>
  <si>
    <t>Lloji i investimit</t>
  </si>
  <si>
    <t>Asistent i I-rë</t>
  </si>
  <si>
    <t>Kryeasistent</t>
  </si>
  <si>
    <t xml:space="preserve">Policia e Ndertimit </t>
  </si>
  <si>
    <t xml:space="preserve">VKM 439 dt.13.7.2007 : Struktura e pagave te Policise Ndertimit" </t>
  </si>
  <si>
    <t xml:space="preserve">Z. Drejtor </t>
  </si>
  <si>
    <t>Kryetar Dege/ Shef Sektori /Kr.Grupit Gadishmeris/ Kr.Dege K1</t>
  </si>
  <si>
    <t>Specialist Qender/Kr.Dege K2/ Shef Sektori rreth/ Kryetar Gr.Gadishmerie Rreth</t>
  </si>
  <si>
    <t>Spesialist I larte rreth</t>
  </si>
  <si>
    <t>Punonjes Grupi Gadishmerie Qender/Kryetar Gr.Gadishmerie Rreth</t>
  </si>
  <si>
    <t>Specialist I mesem rreth</t>
  </si>
  <si>
    <t xml:space="preserve">Punonjes administrate </t>
  </si>
  <si>
    <t xml:space="preserve">Punonjes Sherbimi </t>
  </si>
  <si>
    <t xml:space="preserve">III </t>
  </si>
  <si>
    <t>Pastruese</t>
  </si>
  <si>
    <t xml:space="preserve">Garda e Republikes </t>
  </si>
  <si>
    <t xml:space="preserve">Punonjesit oficer </t>
  </si>
  <si>
    <t xml:space="preserve">VKM 451 18.7.2007 Pagat sipas gradave per punonjesit oficere dhe nenoficere te Gardes se Republikes </t>
  </si>
  <si>
    <t>Gjeneral garde</t>
  </si>
  <si>
    <t xml:space="preserve">Kolonel I larte </t>
  </si>
  <si>
    <t xml:space="preserve">N/Kolonel I larte </t>
  </si>
  <si>
    <t xml:space="preserve">Major I larte </t>
  </si>
  <si>
    <t xml:space="preserve">Kapiten I mesem </t>
  </si>
  <si>
    <t>N/Kapiten I mesem</t>
  </si>
  <si>
    <t>Toger I ulet</t>
  </si>
  <si>
    <t>N/Toger I ulet</t>
  </si>
  <si>
    <t>Per punonjesit nenoficer</t>
  </si>
  <si>
    <t>Kryekapter madhor</t>
  </si>
  <si>
    <t>Kapter I larte</t>
  </si>
  <si>
    <t>Kapter Shtabi</t>
  </si>
  <si>
    <t>Kapter Mjeshtër</t>
  </si>
  <si>
    <t>Kapter i Parë</t>
  </si>
  <si>
    <t>Kapter i Dytë</t>
  </si>
  <si>
    <t>Kapter i Tretë</t>
  </si>
  <si>
    <t>Kapter i Katërt</t>
  </si>
  <si>
    <t>Rreshter</t>
  </si>
  <si>
    <t>IV.A</t>
  </si>
  <si>
    <t>Shtepia e Pushimit Durres</t>
  </si>
  <si>
    <t>Pergj sherbimi ushqim dhe restorant</t>
  </si>
  <si>
    <t>VKM 433 dt.13.7.2007 " Shtepia e Pushimit Durres" punjonjes</t>
  </si>
  <si>
    <t>Pergjegjes gjelberimdhe aktiv,ndihmese</t>
  </si>
  <si>
    <t xml:space="preserve">Kuzhinier/ Administrues hoteli </t>
  </si>
  <si>
    <t>Banakier</t>
  </si>
  <si>
    <t>Ndihmes kuzhinier</t>
  </si>
  <si>
    <t>Llogaritar/kamarier/recepsionist/Mekanik/Shofer /Magazinier</t>
  </si>
  <si>
    <t>Elektricist /hidraulik</t>
  </si>
  <si>
    <t xml:space="preserve">Marangoz /Bojaxhi </t>
  </si>
  <si>
    <t>Punetor hoteli</t>
  </si>
  <si>
    <t>Punetor restoranti</t>
  </si>
  <si>
    <t>Punetor lavanteri</t>
  </si>
  <si>
    <t xml:space="preserve">Arsimi </t>
  </si>
  <si>
    <t>Page grupi</t>
  </si>
  <si>
    <t>Drejtor i shkollës 8- vjeçare</t>
  </si>
  <si>
    <t>Drejtor i kopshtit me ushqim</t>
  </si>
  <si>
    <t>Drejtor i kopshtit pa ushqim</t>
  </si>
  <si>
    <t>Mësues në shkollat e mesme / Mësues në institutin e nxënësve që nuk shikojnë/ Mësues në institutin e nxënësve që nuk dëgjojnë/ Mësues në shkollat me probleme të larta mendore</t>
  </si>
  <si>
    <t>Mësues në shkollat 8-vjeçare, klasa I-VIII/ Edukator konvikti/ Kujdestar konvikti</t>
  </si>
  <si>
    <t>Edukator në kopsht fëmijësh</t>
  </si>
  <si>
    <t>Mësues</t>
  </si>
  <si>
    <t xml:space="preserve">Edukator në kopsht fëmijësh </t>
  </si>
  <si>
    <t xml:space="preserve">Shendetesia </t>
  </si>
  <si>
    <t xml:space="preserve">Niveli i pagave arsimi i larte </t>
  </si>
  <si>
    <t>KSU</t>
  </si>
  <si>
    <t>Drejtor spital universitar KSU/QK-CSA/Shef Njesie  Helokopter</t>
  </si>
  <si>
    <t>Pilot helikopter/ Drejtor Kontr. Barnave</t>
  </si>
  <si>
    <t>Teknik helikopteri</t>
  </si>
  <si>
    <t xml:space="preserve">Drejtor klinika stomatologjike/ Zv Drejtor Kontrolli Barnave/Drejtor dhe Kryesanitar  </t>
  </si>
  <si>
    <t>Shef sektori Kontr. Barnave/QK-CSA</t>
  </si>
  <si>
    <t>Z.Drejtor SU/KSU</t>
  </si>
  <si>
    <t>Farmacist inspektor kontrl barnave/ Farmacist /analist kontrl barnave/Specialist I larte QK-CSA</t>
  </si>
  <si>
    <t>KQ</t>
  </si>
  <si>
    <t>Drejtor/ Shef sherbimi/ Shef sektori kontrl barnave</t>
  </si>
  <si>
    <t xml:space="preserve">Shef rep/ klinike psikiatrike /Shef Rep rezatimi/Shef Sherbimi anatomapolog/Shef reparti/kl biokimik/kimioterapie/laboratori /qendres diagnozes molek etj </t>
  </si>
  <si>
    <t>Shef : kabineti/laboratori/ qendres se proterizimit</t>
  </si>
  <si>
    <t>Shef sektori /shef farm esoluc.injekt/biokimist ne solic injek/ inxhinier biomedikal/inxhinier sist ngrohjes/shef sektori helikopteri</t>
  </si>
  <si>
    <t>Mjek stomoatolog/ biol kimist/mykolog/ Pergj qendre DDD/specialsit fiskulture/Kryellogaritar/ revizor/Mjek : Kirurg/ fizioteraupet/ obsteter gjinekolog. Pneumofitziater/ Mjek radiolog/ Mjek kimioteraupet</t>
  </si>
  <si>
    <t xml:space="preserve">Specialist I larte KSU/Mjek stomatolog KQ/Specialist I larte higjene /epidemiollogjie/Shef Sektori / Shef reparti/ pergjegjes poliklinike/shef kabineti/ shef pergj laboratori/pergjegjes dispancerie/ Shef reparti klinike </t>
  </si>
  <si>
    <t xml:space="preserve">Mjek  / Stomatolog / Inxh.elektrik /kimist/veteriner/mikrobiolog/specialist I larte Njesia Helikopterit/Kontrolli barnave/Mjek onkolog/ Mjek fizioteraupet/ortoped/ Mjek kirurg/ Mjek pneumofiziater/obtseter/Mjek radiolog/hematolog//onkolog et </t>
  </si>
  <si>
    <t>Pergj zyre/ Revizor/ Inspektor/Specialist I larte DKSHP/ Shef sektori/pergjegjes QIB</t>
  </si>
  <si>
    <t>Specialist I larte promocioni</t>
  </si>
  <si>
    <t>Specialist I larte DKSHP/ QIB</t>
  </si>
  <si>
    <t xml:space="preserve">Punonjesit me aresim te mesem </t>
  </si>
  <si>
    <t>DSHP</t>
  </si>
  <si>
    <t>Shef i sektorit te kujdesjeve infermierore/ Kryeinfermier sherbimi psikiatrik/Kryeinfermier sherbimi anatologj-patologj/terapi intensive/onkologjik/rezatim kobalti / reparti rezatim /Shefi sekt Higj/ Kryeinfermire/kryelaborante/kryemami sherbimi sherbimi / kr.infermier KSQ/ Laborant barnnat</t>
  </si>
  <si>
    <t>Kr. Inferemier/ kr.infermier aergologji/sterilizim, kryemami ne izolimspecialist I sek.kujdesit inferieror / Kr.Infermier pergjithshem / spec kujd. Infermieror/Kr.Inf pergj HIGJ/Kr.Inf pergj HIGJ/ teknik I pergjithshem Nj.transportit mjekesor/Infermiere/laborant psikiatri/kryelaburant radiologjie KSU/</t>
  </si>
  <si>
    <t>Infermiere sherb, shende. Mendor/laborante /kr.infermere neonatologji/ infermiere mami (kirurgji/maksilofacia/ kardiologji/djegje) / Ndihm.inspektor sanitar/higjenist/epemiolog/aborante toksikologjie/ Ndihmes inspektor sanitar HIGJ/Kr. Infermier pranim urgjence/ laborant radiolog/infermeire punktim gjaku/ onkologji/ endoskopi/  bakteorolog imunolog</t>
  </si>
  <si>
    <t>Infermier statistike</t>
  </si>
  <si>
    <t>Infermier KSQ/Infermiere pavion rezatimi/Inferm infektiv/ pranim urgjence/ njesia e koordinim te urgjences /infermier reanimacioni/ Ndihmes farmacie, infermire hemiodialize /Kr, infermier poliklinike spitali, infermiere, laborante/ Infermire fizioterapi/ Infermiere ortopedi/Laborant ezhe/ kryeinf. Cerdhe Kryeinfermier/kryemami/ Infermiere sherb stomatologj/ Laborante bakterolog/ kinikbiokimik/ Ndihmes dentist / ndihmes stomatologe KSQ</t>
  </si>
  <si>
    <t>Ndihmes baktereolog/Infermier mami</t>
  </si>
  <si>
    <t xml:space="preserve">Kujdestar psikiatri/Kujdestar pediatri , ndihmes infermier /Infermier cerdhe personel/ kujdestar pediatri </t>
  </si>
  <si>
    <t>Te tjera transferta tek individet (Shpenzime transporti Rektor dekane)</t>
  </si>
  <si>
    <t xml:space="preserve">Tatim Taksat </t>
  </si>
  <si>
    <t xml:space="preserve">Paga per pozicion (Ekzistuese) </t>
  </si>
  <si>
    <t>Drejtor i Përgjithshëm</t>
  </si>
  <si>
    <t xml:space="preserve">VKM 452. dt.18.7.2007 " Per Miratimin e Struktures dhe nivelit te pagave te punonjesve te sistemit tatimor" </t>
  </si>
  <si>
    <t>Zv/Drejtor i përgjithshëm</t>
  </si>
  <si>
    <t>Drejtor Drejtorie/Kr.Dege Tirane</t>
  </si>
  <si>
    <t>Përgjegjës sektori</t>
  </si>
  <si>
    <t>Përgjegjës zyre</t>
  </si>
  <si>
    <t>Inspektor i I-rë</t>
  </si>
  <si>
    <t>Inspektor i II-të</t>
  </si>
  <si>
    <t>Oficer i Policisë Tatimore</t>
  </si>
  <si>
    <t>Nënoficer</t>
  </si>
  <si>
    <t>2/3</t>
  </si>
  <si>
    <t>Llogaritar/Arkëtar</t>
  </si>
  <si>
    <t>Operatore</t>
  </si>
  <si>
    <t>Arshivist/Protokollist</t>
  </si>
  <si>
    <t>Magazinier/ Shofer</t>
  </si>
  <si>
    <t>Sekretare</t>
  </si>
  <si>
    <t>Shofer</t>
  </si>
  <si>
    <t>Punonjës pastrimi</t>
  </si>
  <si>
    <t>3/4</t>
  </si>
  <si>
    <t>Dega Tatimeve Tirane</t>
  </si>
  <si>
    <t>Kryetar dege</t>
  </si>
  <si>
    <t>Nënkryetar dege</t>
  </si>
  <si>
    <t>Nenoficer</t>
  </si>
  <si>
    <t>Operator/Llogaritar/Arketar/Arkivist /Protokollist</t>
  </si>
  <si>
    <t>Magazinier</t>
  </si>
  <si>
    <t>Degët e tatimeve në rrethet e tjera</t>
  </si>
  <si>
    <t>Pergjegjes zyre/Inspektor i I-rë</t>
  </si>
  <si>
    <t>Operator/ Llogaritar/Arkëtar/ Shofer/ Arshivist/Protokollist</t>
  </si>
  <si>
    <t>Sistemi I Doganave</t>
  </si>
  <si>
    <t xml:space="preserve">Paga Ekzistuese </t>
  </si>
  <si>
    <t xml:space="preserve">VKM 453 dt.18.7.2007 " Struktura e pagave te punonjesve te Doganes ndryshuar" </t>
  </si>
  <si>
    <t>ZV. Drejtor i Përgjithshëm</t>
  </si>
  <si>
    <t>Keshilltar/Dr.Drejt/Dr.Drejt Rajonale.Kr Deg.Doganore Tirane, Vlore,Durres, Shkoder, Gjirok. Neounes nderlidhes I Qendres SECI</t>
  </si>
  <si>
    <t>Pergj/Shef Sekt/Specialts. Mardh me publik/Kr.Deges Doganore te tjera/Kryehetues</t>
  </si>
  <si>
    <t>Specialist ne DP.Dog/Specialist Laborat/Perkthyes/Inspekt Kontrolli/Kordinator ne DOH. Shef turni.Komand.Gr.Antikontr/Doganier analize risku Aposteriori.borxhi/Jurist/Adm. Rrjeti ne deg.doganore</t>
  </si>
  <si>
    <t>Dog. Kontrolli dokumentar fizik/Llogaritar/Inspektor antikontr/Assistant laboratori</t>
  </si>
  <si>
    <t>Dog Pranues/Peshoreje/Pike kontrolli.Perp.inform/sekretare/arkivist</t>
  </si>
  <si>
    <t>D1</t>
  </si>
  <si>
    <t>Arketar/Magazinier/ Furnitor/Operator/Shofer/Teknik/Shoqerues</t>
  </si>
  <si>
    <t>D2</t>
  </si>
  <si>
    <t>Centralist/Sportelist/Sanitar/Mirembajtes</t>
  </si>
  <si>
    <t>Pastrim Mirembajtje</t>
  </si>
  <si>
    <t xml:space="preserve">Pagat e Gjyqesorit </t>
  </si>
  <si>
    <t>Kryetar I Gjykates se Larte</t>
  </si>
  <si>
    <t>1.2 C/1</t>
  </si>
  <si>
    <t xml:space="preserve">Gjyqtar ne Gjykaten e Larte </t>
  </si>
  <si>
    <t>C/1</t>
  </si>
  <si>
    <t>Kancelar</t>
  </si>
  <si>
    <t>Kryetar Gj.Ap.Tirane</t>
  </si>
  <si>
    <t>Kryetar Gj. Apeli</t>
  </si>
  <si>
    <t>Kryetar Rrethi Tirane+Krimet</t>
  </si>
  <si>
    <t>Kryetar Gj.Rrethi</t>
  </si>
  <si>
    <t>N/kryet. Apeli Tirane</t>
  </si>
  <si>
    <t>N/kryet.Rrethi Tirane</t>
  </si>
  <si>
    <t>N/kryetar Gj.Rrethi</t>
  </si>
  <si>
    <t>Gjyqtare Apeli</t>
  </si>
  <si>
    <t>GjyqtareApeli Krimet</t>
  </si>
  <si>
    <t>Gjyqtare Rrethi</t>
  </si>
  <si>
    <t>Gjyqt.rrethi Krimet</t>
  </si>
  <si>
    <t>Kancelar Apeli</t>
  </si>
  <si>
    <t>Kancelar Apeli Krimet</t>
  </si>
  <si>
    <t>Kancelar  Rrethi</t>
  </si>
  <si>
    <t>Kancelar  Rrethi Krimet</t>
  </si>
  <si>
    <t xml:space="preserve">Ndihmes Ligjore </t>
  </si>
  <si>
    <t>Paga e Prok.Pergj.</t>
  </si>
  <si>
    <t xml:space="preserve"> Prokurori ne Prokurorine e Pergjithshme</t>
  </si>
  <si>
    <t xml:space="preserve">    PROKURORIA   APELIT TIRANE</t>
  </si>
  <si>
    <t>Prok.Prok.Apelit</t>
  </si>
  <si>
    <t>Zv.Prok.</t>
  </si>
  <si>
    <t>Prok.Apeli</t>
  </si>
  <si>
    <t xml:space="preserve">   PROK. APELI NE RRETHE</t>
  </si>
  <si>
    <t xml:space="preserve">   PROK. APELI USHTARAKE TIRANE</t>
  </si>
  <si>
    <t>PROK. RRETHIT TIRANE</t>
  </si>
  <si>
    <t>Prok.Prok.</t>
  </si>
  <si>
    <t>Prok.+ Kancelare</t>
  </si>
  <si>
    <t xml:space="preserve">PROK. RRETHIT </t>
  </si>
  <si>
    <t>Prok.Rrethi</t>
  </si>
  <si>
    <t xml:space="preserve">PROK. APELIT TE KRIMEVE TE RENDA </t>
  </si>
  <si>
    <t>Prok.apeli</t>
  </si>
  <si>
    <t>Prok.</t>
  </si>
  <si>
    <t xml:space="preserve">PROK.PER KRIME TE RENDA </t>
  </si>
  <si>
    <t>Prok.I Prok</t>
  </si>
  <si>
    <t>Prok. + Kancelare</t>
  </si>
  <si>
    <t>PER OFICERAT E POLICISE GJYQESORE</t>
  </si>
  <si>
    <t>Of polic gjyq. ne P.P.Krim.Renda,</t>
  </si>
  <si>
    <t xml:space="preserve">Apl.Krim.Renda </t>
  </si>
  <si>
    <t>Oficeri policis gjyq. ne Rrethe</t>
  </si>
  <si>
    <t>dhe ofic.policis.gjyq.ne Prok.Apeli</t>
  </si>
  <si>
    <t>Lidhja 2/1 B - Trupat artistike - VKM 478 18.7.2008 I ndryshuar me VKM nr.759 date 14,11,2007</t>
  </si>
  <si>
    <t xml:space="preserve">Dirigjent/Regjisor/Solist I I etj </t>
  </si>
  <si>
    <t>Assistant Dirigjent/ Assistant Regjisor/Solist II/Aktor II</t>
  </si>
  <si>
    <t>Orkestrant I/ Korist I/Balerin I/Aktor II/Skenogr</t>
  </si>
  <si>
    <t>Orkestrant II/ Korist II/Balerin II/Aktor III/Skenogr II</t>
  </si>
  <si>
    <t xml:space="preserve">Shtesat e Pagave </t>
  </si>
  <si>
    <t xml:space="preserve">Shtesa per kualifikim e grada shkencore </t>
  </si>
  <si>
    <t xml:space="preserve">Titullar institucioni </t>
  </si>
  <si>
    <t xml:space="preserve">Profesor  </t>
  </si>
  <si>
    <t xml:space="preserve">VKM 478 dt.18.7.2007 " Miratimi I Struktures dhe niveleve te pagave te nepunesve te disa institucioneve ne varesi te Ministrive te linjes. </t>
  </si>
  <si>
    <t>Profesor I associuar</t>
  </si>
  <si>
    <t xml:space="preserve">ZV/Titullar institucioni / Drejtor Drejtorie / Anetar I organit drejtues </t>
  </si>
  <si>
    <t xml:space="preserve">Doktor I Shkencave  </t>
  </si>
  <si>
    <t>Doktor I Shkencave doktorature e mbrojtur ne vendet perendimore</t>
  </si>
  <si>
    <t xml:space="preserve">Pergjegjes sektori / Menaxher trajnimi/ Specialist </t>
  </si>
  <si>
    <t>Studime te thelluara pasuniverist/Master Niveli II/ Studime afatgjate</t>
  </si>
  <si>
    <t>Studime te thelluara pasuniverist/Master Niveli II (jashte vendit)</t>
  </si>
  <si>
    <t>Shtesa per punonjesit e IT</t>
  </si>
  <si>
    <t xml:space="preserve">Shtesa per shoferet </t>
  </si>
  <si>
    <t>Paga e references</t>
  </si>
  <si>
    <t xml:space="preserve">Shtesa </t>
  </si>
  <si>
    <t>Ndryshimi I shteses si rezultat I rritjes se pagave</t>
  </si>
  <si>
    <t>%</t>
  </si>
  <si>
    <t>Vlere</t>
  </si>
  <si>
    <t>rritja</t>
  </si>
  <si>
    <t>Shtesa e re</t>
  </si>
  <si>
    <t xml:space="preserve">1. Kur jane ne sherbim te zyrtareve Grupi A- dhe nuk jane punonjes te Gardes se Republikes </t>
  </si>
  <si>
    <t>VII lidhja II/M</t>
  </si>
  <si>
    <t>VKM 477 dt 13.7.2007 " Per pagat e punionjesve te institucioneve buxhetore</t>
  </si>
  <si>
    <t xml:space="preserve">1. Kur jane ne sherbim te zyrtareve Grupi B dhe C dhe nuk jane punonjes te Gardes se Republikes </t>
  </si>
  <si>
    <t>VI lidhja II/M</t>
  </si>
  <si>
    <t xml:space="preserve">1. Kur jane ne sherbim te zyrtareve Grupi D dhe E - dhe nuk jane punonjes te Gardes se Republikes </t>
  </si>
  <si>
    <t>V lidhja II/M</t>
  </si>
  <si>
    <t xml:space="preserve">Shtesat e Pagave per veshtiresi ne pune (pune te demshme per shendetin) </t>
  </si>
  <si>
    <t xml:space="preserve">Niveli </t>
  </si>
  <si>
    <t xml:space="preserve">shkalla e I </t>
  </si>
  <si>
    <t>llogaritja mbi bazen e pages se klases niveli I VI</t>
  </si>
  <si>
    <t xml:space="preserve">Shkalla e II </t>
  </si>
  <si>
    <t xml:space="preserve">10%-15% </t>
  </si>
  <si>
    <t>Master shkencor</t>
  </si>
  <si>
    <t>Master Profesional koha plotë</t>
  </si>
  <si>
    <t>Master Profesional koha pjesshme</t>
  </si>
  <si>
    <t>Doktoraturë</t>
  </si>
  <si>
    <t>Shkalla e III</t>
  </si>
  <si>
    <t xml:space="preserve">15 - 20% </t>
  </si>
  <si>
    <t>Shkalla e IV</t>
  </si>
  <si>
    <t>20% - 25%</t>
  </si>
  <si>
    <t xml:space="preserve"> Ministria e Rendit </t>
  </si>
  <si>
    <t xml:space="preserve">Punonjesit civile - gadishmeri ushtarake </t>
  </si>
  <si>
    <t>- 20%</t>
  </si>
  <si>
    <t>LLOGARITJA E TE ARDHURAVE</t>
  </si>
  <si>
    <t>I takojnë institucionit</t>
  </si>
  <si>
    <t>Nr</t>
  </si>
  <si>
    <t>Vlera</t>
  </si>
  <si>
    <t>Shtypja e teksteve dhe leksioneve</t>
  </si>
  <si>
    <t>Qendrat ekspirmentale</t>
  </si>
  <si>
    <t>Qeratë</t>
  </si>
  <si>
    <t>Tarifat e shkollimit</t>
  </si>
  <si>
    <t>tarifa</t>
  </si>
  <si>
    <t>Nr.studentëve</t>
  </si>
  <si>
    <t>Tarifa është</t>
  </si>
  <si>
    <t>Shuma tarifave</t>
  </si>
  <si>
    <t>Shuma kuotave</t>
  </si>
  <si>
    <t>Shuma Tarifave të veçanta</t>
  </si>
  <si>
    <t>Libreza Diplloma etj.</t>
  </si>
  <si>
    <t>Fotokopje, vërtetime ,etj.</t>
  </si>
  <si>
    <t>a/1-Profesor, Zv/Dekan</t>
  </si>
  <si>
    <t>Ne Kollonen 16 do te kopjoni tek "Emertimi I projektit te investimit" llojin e investimit dhe vendoseni per bri cdo projekti, me qellim qe te behet shuma ne permbledhese</t>
  </si>
  <si>
    <t>V.O.Tek llogaritja e të ardhurave tarifat jane pershtatur per universitet. DAR, ZA etj. Te plotesojne ato te ardhura qe krijojne ose te vazhdojne poshte sponsorizimeve</t>
  </si>
  <si>
    <t>&lt;&lt;Arsimi I Mesem I Profesional&gt;&gt;</t>
  </si>
  <si>
    <t>&lt;&lt;Arsimi I larte &gt;&gt;</t>
  </si>
  <si>
    <t>TJERA</t>
  </si>
  <si>
    <t>602 - 8</t>
  </si>
  <si>
    <t>602 - 6</t>
  </si>
  <si>
    <t>total 8</t>
  </si>
  <si>
    <t>total 6</t>
  </si>
  <si>
    <t>prokuruar</t>
  </si>
  <si>
    <t>parashikim</t>
  </si>
  <si>
    <t>Totali 000 leke</t>
  </si>
  <si>
    <t>Diferenca</t>
  </si>
  <si>
    <t>Fakti 7 mujori</t>
  </si>
  <si>
    <t>Emri mbiemri</t>
  </si>
  <si>
    <t>Shpenzime nga te Ardhurat jashtë limiti</t>
  </si>
  <si>
    <t>09770</t>
  </si>
  <si>
    <t>Kërkim shkencor 231</t>
  </si>
  <si>
    <t>Master profesional</t>
  </si>
  <si>
    <t>Master Shkencor</t>
  </si>
  <si>
    <t>Program I dytë</t>
  </si>
  <si>
    <t>Program i dytë</t>
  </si>
  <si>
    <t>Tarifa KP program i parë</t>
  </si>
  <si>
    <t>b/1d - Docent (Dr), pedagog</t>
  </si>
  <si>
    <t>b/1m - Docent (Msc), pedagog</t>
  </si>
  <si>
    <t>Drejtori i Drejtorise Ekonomike/Finances/ Nepunesi zbatues</t>
  </si>
  <si>
    <t xml:space="preserve">MINISTRIA E ARSIMIT </t>
  </si>
  <si>
    <t>Planifikimi I shpenzimeve mujore kapitale 230-231  per vitin 2018</t>
  </si>
  <si>
    <t>Planifikimi I shpenzimeve mujore zkorente 602-606 per vitin 2018</t>
  </si>
  <si>
    <t>Planifikimi I shpenzimeve mujore Paga e sig shoqerore 2018</t>
  </si>
  <si>
    <t>&lt;&lt;Planifikim Menaxhim &gt;</t>
  </si>
  <si>
    <t>Inv Huaja 301  milion</t>
  </si>
  <si>
    <t>Totali i programit 4</t>
  </si>
  <si>
    <t>Inv Huaja 100  milion</t>
  </si>
  <si>
    <t>Totali i programit 5</t>
  </si>
  <si>
    <t>Totali i programit -1-6</t>
  </si>
  <si>
    <t xml:space="preserve">Drejtoria Planifikimit Buxhetor dhe Investimeve </t>
  </si>
  <si>
    <t>L</t>
  </si>
  <si>
    <t>M</t>
  </si>
  <si>
    <t>N</t>
  </si>
  <si>
    <t>O</t>
  </si>
  <si>
    <t>P</t>
  </si>
  <si>
    <t xml:space="preserve">Fina Huaj + te ardhura </t>
  </si>
  <si>
    <t>&lt;&lt;Kerkim Fondamental dhe Ekselence&gt;</t>
  </si>
  <si>
    <t xml:space="preserve">Programi per Sportit </t>
  </si>
  <si>
    <t>&lt;&lt;Arsimi Larte 09450 &gt;&gt;</t>
  </si>
  <si>
    <t>&lt;&lt;Kerkimi Shkencor 09770&gt;&gt;</t>
  </si>
  <si>
    <t>&lt;&lt;Programi I Sportit &gt;&gt;</t>
  </si>
  <si>
    <t>&lt;&lt;Arsimi I Mesem I Pergjithshem 09230 &gt;&gt;</t>
  </si>
  <si>
    <t>&lt;&lt;Arsimi Baze +Parshkollori  09120 &gt;&gt;</t>
  </si>
  <si>
    <t>&lt;&lt;Arsimi I Meseml&gt;&gt;</t>
  </si>
  <si>
    <t>01110</t>
  </si>
  <si>
    <t>09120</t>
  </si>
  <si>
    <t>09230</t>
  </si>
  <si>
    <t>08140</t>
  </si>
  <si>
    <t>Numri i  punonjësve me kontratë miratuar me Vendim te keshillit te Ministrave</t>
  </si>
  <si>
    <t>MINISTRIA E ARSIMIT  SPORTIT dhe Rinise</t>
  </si>
  <si>
    <t>Numri i  punonjesve  të miratuar me ligjin vjetor te buxhetit  nr.88/2019</t>
  </si>
  <si>
    <t>Numri i punonjësve të miratuar me ligjin Vjetor buxhetit 99/2018/ VKM</t>
  </si>
  <si>
    <t xml:space="preserve">Programi Buxhetor </t>
  </si>
  <si>
    <t>Shkruaj te Ardhura nga Projetet, ndekombetare, Grante etj</t>
  </si>
  <si>
    <t>&lt;&lt;Sporti dhe Rinia &gt;&gt;</t>
  </si>
  <si>
    <t>&lt;&lt;SPOrti dhe Rinia &gt;&gt;</t>
  </si>
  <si>
    <t>1011205</t>
  </si>
  <si>
    <t>Agjensia e Sherbimeve të Sportit</t>
  </si>
  <si>
    <t xml:space="preserve">Nr. Rendor </t>
  </si>
  <si>
    <t>Pozicioni</t>
  </si>
  <si>
    <t>Nr. punonjesve</t>
  </si>
  <si>
    <t>Kategoria/ Klasa</t>
  </si>
  <si>
    <t>Paga mujore e Grupit/Klases</t>
  </si>
  <si>
    <t xml:space="preserve"> Vjetersia mesatare(ne vite)</t>
  </si>
  <si>
    <t>Vjetersia mujore ne leke</t>
  </si>
  <si>
    <t>Shtesa mujore e pozicionit</t>
  </si>
  <si>
    <t>Shtese mujore kualifikimi</t>
  </si>
  <si>
    <t>Shtese mujore kushte pune</t>
  </si>
  <si>
    <t xml:space="preserve">Shtesa te tjera mujore </t>
  </si>
  <si>
    <t>Paga mujore bruto</t>
  </si>
  <si>
    <t xml:space="preserve">Fondi i pagave (ne 000/ leke) </t>
  </si>
  <si>
    <t>Baza ligjore e shtesave te tjera</t>
  </si>
  <si>
    <t>9= 3 + 4+5+6+7+8</t>
  </si>
  <si>
    <t>10= (9*1*12m)</t>
  </si>
  <si>
    <t>Fondi I Vecante</t>
  </si>
  <si>
    <t>I. Stafi politik</t>
  </si>
  <si>
    <t>Punonjes me sistemin page grupi + shtese per pozicion</t>
  </si>
  <si>
    <t>Zevendesdrejtor</t>
  </si>
  <si>
    <t>II.3</t>
  </si>
  <si>
    <t>Pergjegjes Sektori</t>
  </si>
  <si>
    <t>II.4</t>
  </si>
  <si>
    <t>II.5</t>
  </si>
  <si>
    <t>Punonjes te sistemit me klasa</t>
  </si>
  <si>
    <t>Protokoll,arkiv,sekretare</t>
  </si>
  <si>
    <t>III.3</t>
  </si>
  <si>
    <t>Teknik i mesem</t>
  </si>
  <si>
    <t>III.4</t>
  </si>
  <si>
    <t>Ndihmes specialist</t>
  </si>
  <si>
    <t>Total:</t>
  </si>
  <si>
    <t xml:space="preserve">Shenim : Te dhenat e paraqitura jane orientuese . Ne kollonen E, per punonjesit qe paguhen me lidhjen II opo II/M , te vendoset klasa perkatese dhe lidhja: psh  IV/ II ose IV/ M </t>
  </si>
  <si>
    <t>Brikena Sidheri</t>
  </si>
  <si>
    <t>Bledar Doçi</t>
  </si>
  <si>
    <t>"Pasqyra Nr.3: Permbledhese e Pagave" 2020-2021</t>
  </si>
  <si>
    <t>PROGRAMI PLANIFIKIM MENAXHIM</t>
  </si>
  <si>
    <t>6 ore ne ditë per 12 muaj</t>
  </si>
  <si>
    <t>Fondi i Pagave mbi te cilat llogaritet sigurimet shoqerore</t>
  </si>
  <si>
    <t>fondi për sigurime Shoqerore (000/lekë)</t>
  </si>
  <si>
    <t>Total fondi i pagave dhe sigurimeve shoqerore (000/leke</t>
  </si>
  <si>
    <t>Paga mesatare mujore bruto</t>
  </si>
  <si>
    <t>Emri   Brikena Sidheri</t>
  </si>
  <si>
    <t>Internet</t>
  </si>
  <si>
    <t>Brikena Sdheri</t>
  </si>
  <si>
    <t>001</t>
  </si>
  <si>
    <t>11</t>
  </si>
  <si>
    <t>1</t>
  </si>
  <si>
    <t>231</t>
  </si>
  <si>
    <t>91102AF</t>
  </si>
  <si>
    <t>Blerje Kompjutera</t>
  </si>
  <si>
    <t xml:space="preserve">Blerje Printera, fotokopje, skaner </t>
  </si>
  <si>
    <t>500000</t>
  </si>
  <si>
    <t>Agjensia e Sherbimeve te Sportit</t>
  </si>
  <si>
    <t>PBA 2022-2024</t>
  </si>
  <si>
    <t>TOTALI _PBA__2022-2024</t>
  </si>
  <si>
    <t>04.08.2021</t>
  </si>
  <si>
    <t>viti 2022</t>
  </si>
  <si>
    <t xml:space="preserve">  PBA 2022-2024</t>
  </si>
  <si>
    <t>Tabela nr.  1, Plani I deajuar I inevestimeve per vitin 2022-2023-2024 (ku jane perfshire Financimi Brendshem si dhe Finacimi Huaj)</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</si>
</sst>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5" formatCode="&quot;$&quot;#,##0_);\(&quot;$&quot;#,##0\)"/>
    <numFmt numFmtId="43" formatCode="_(* #,##0.00_);_(* \(#,##0.00\);_(* &quot;-&quot;??_);_(@_)"/>
    <numFmt numFmtId="164" formatCode="#,##0.0"/>
    <numFmt numFmtId="165" formatCode="mmmm\ d\,\ yyyy"/>
    <numFmt numFmtId="166" formatCode="0.0"/>
    <numFmt numFmtId="167" formatCode="0.0000"/>
    <numFmt numFmtId="168" formatCode="#,##0.000"/>
    <numFmt numFmtId="169" formatCode="00"/>
    <numFmt numFmtId="170" formatCode="0000"/>
    <numFmt numFmtId="171" formatCode="_-* #,##0.00_L_e_k_-;\-* #,##0.00_L_e_k_-;_-* &quot;-&quot;??_L_e_k_-;_-@_-"/>
    <numFmt numFmtId="172" formatCode="0.0%"/>
    <numFmt numFmtId="173" formatCode="_(* #,##0_);_(* \(#,##0\);_(* &quot;-&quot;??_);_(@_)"/>
  </numFmts>
  <fonts count="106">
    <font>
      <sz val="10"/>
      <name val="Arial"/>
    </font>
    <font>
      <sz val="11"/>
      <color theme="1"/>
      <name val="Calibri"/>
      <family val="2"/>
      <scheme val="minor"/>
    </font>
    <font>
      <b/>
      <sz val="10"/>
      <name val="Arial"/>
      <family val="2"/>
    </font>
    <font>
      <sz val="10"/>
      <name val="Arial"/>
      <family val="2"/>
    </font>
    <font>
      <b/>
      <sz val="18"/>
      <name val="Arial"/>
      <family val="2"/>
    </font>
    <font>
      <b/>
      <sz val="12"/>
      <name val="Arial"/>
      <family val="2"/>
    </font>
    <font>
      <sz val="10"/>
      <name val="Times New Roman CE"/>
      <charset val="238"/>
    </font>
    <font>
      <sz val="8"/>
      <name val="Times New Roman CE"/>
      <charset val="238"/>
    </font>
    <font>
      <b/>
      <i/>
      <sz val="10"/>
      <name val="Times New Roman CE"/>
      <charset val="238"/>
    </font>
    <font>
      <i/>
      <sz val="10"/>
      <name val="Times New Roman CE"/>
      <charset val="238"/>
    </font>
    <font>
      <b/>
      <i/>
      <sz val="8"/>
      <name val="Arial"/>
      <family val="2"/>
    </font>
    <font>
      <i/>
      <sz val="8"/>
      <name val="Times New Roman CE"/>
      <charset val="238"/>
    </font>
    <font>
      <b/>
      <i/>
      <sz val="10"/>
      <name val="Arial"/>
      <family val="2"/>
    </font>
    <font>
      <sz val="10"/>
      <name val="Arial"/>
      <family val="2"/>
    </font>
    <font>
      <b/>
      <sz val="8"/>
      <name val="Arial"/>
      <family val="2"/>
      <charset val="238"/>
    </font>
    <font>
      <sz val="8"/>
      <name val="Arial"/>
      <family val="2"/>
    </font>
    <font>
      <b/>
      <sz val="10"/>
      <name val="Arial"/>
      <family val="2"/>
    </font>
    <font>
      <b/>
      <sz val="8"/>
      <name val="Arial"/>
      <family val="2"/>
    </font>
    <font>
      <b/>
      <sz val="6"/>
      <name val="Arial"/>
      <family val="2"/>
    </font>
    <font>
      <b/>
      <sz val="10"/>
      <name val="Times New Roman CE"/>
    </font>
    <font>
      <sz val="8"/>
      <name val="Arial"/>
      <family val="2"/>
    </font>
    <font>
      <sz val="11"/>
      <name val="Arial"/>
      <family val="2"/>
    </font>
    <font>
      <b/>
      <sz val="11"/>
      <name val="Arial"/>
      <family val="2"/>
    </font>
    <font>
      <b/>
      <i/>
      <sz val="8"/>
      <name val="Arial"/>
      <family val="2"/>
    </font>
    <font>
      <u/>
      <sz val="10"/>
      <name val="Arial"/>
      <family val="2"/>
    </font>
    <font>
      <b/>
      <sz val="12"/>
      <name val="Arial"/>
      <family val="2"/>
    </font>
    <font>
      <b/>
      <sz val="8"/>
      <name val="Times New Roman"/>
      <family val="1"/>
      <charset val="238"/>
    </font>
    <font>
      <b/>
      <sz val="8"/>
      <name val="Times New Roman CE"/>
      <charset val="238"/>
    </font>
    <font>
      <b/>
      <sz val="10"/>
      <name val="Times New Roman CE"/>
      <charset val="238"/>
    </font>
    <font>
      <b/>
      <i/>
      <sz val="8"/>
      <name val="Times New Roman CE"/>
    </font>
    <font>
      <i/>
      <sz val="10"/>
      <name val="Arial"/>
      <family val="2"/>
    </font>
    <font>
      <b/>
      <i/>
      <sz val="10"/>
      <name val="Times New Roman CE"/>
    </font>
    <font>
      <b/>
      <sz val="8"/>
      <name val="Times New Roman CE"/>
    </font>
    <font>
      <sz val="8"/>
      <name val="Times New Roman CE"/>
    </font>
    <font>
      <sz val="8"/>
      <color indexed="8"/>
      <name val="Times New Roman CE"/>
    </font>
    <font>
      <b/>
      <sz val="8"/>
      <color indexed="8"/>
      <name val="Times New Roman"/>
      <family val="1"/>
    </font>
    <font>
      <b/>
      <sz val="8"/>
      <name val="Times New Roman"/>
      <family val="1"/>
    </font>
    <font>
      <sz val="8"/>
      <name val="Times New Roman"/>
      <family val="1"/>
    </font>
    <font>
      <sz val="8"/>
      <color indexed="8"/>
      <name val="Times New Roman"/>
      <family val="1"/>
    </font>
    <font>
      <b/>
      <sz val="12"/>
      <name val="MS Sans Serif"/>
      <family val="2"/>
    </font>
    <font>
      <b/>
      <sz val="7"/>
      <name val="Arial"/>
      <family val="2"/>
    </font>
    <font>
      <b/>
      <sz val="8"/>
      <color indexed="62"/>
      <name val="Arial"/>
      <family val="2"/>
    </font>
    <font>
      <b/>
      <sz val="8"/>
      <color indexed="10"/>
      <name val="Arial"/>
      <family val="2"/>
    </font>
    <font>
      <b/>
      <sz val="8"/>
      <color indexed="61"/>
      <name val="Arial"/>
      <family val="2"/>
    </font>
    <font>
      <b/>
      <sz val="8"/>
      <color indexed="60"/>
      <name val="Arial"/>
      <family val="2"/>
    </font>
    <font>
      <sz val="8"/>
      <color indexed="10"/>
      <name val="Arial"/>
      <family val="2"/>
    </font>
    <font>
      <sz val="8"/>
      <color indexed="60"/>
      <name val="Arial"/>
      <family val="2"/>
    </font>
    <font>
      <sz val="8"/>
      <color indexed="61"/>
      <name val="Arial"/>
      <family val="2"/>
    </font>
    <font>
      <b/>
      <sz val="8"/>
      <color indexed="12"/>
      <name val="Arial"/>
      <family val="2"/>
    </font>
    <font>
      <b/>
      <sz val="12"/>
      <color indexed="10"/>
      <name val="Arial"/>
      <family val="2"/>
    </font>
    <font>
      <b/>
      <sz val="12"/>
      <color indexed="12"/>
      <name val="Arial"/>
      <family val="2"/>
    </font>
    <font>
      <b/>
      <u/>
      <sz val="12"/>
      <color indexed="12"/>
      <name val="Arial"/>
      <family val="2"/>
    </font>
    <font>
      <b/>
      <i/>
      <sz val="8"/>
      <color indexed="61"/>
      <name val="Arial"/>
      <family val="2"/>
    </font>
    <font>
      <b/>
      <i/>
      <sz val="8"/>
      <color indexed="10"/>
      <name val="Arial"/>
      <family val="2"/>
    </font>
    <font>
      <b/>
      <i/>
      <sz val="8"/>
      <color indexed="60"/>
      <name val="Arial"/>
      <family val="2"/>
    </font>
    <font>
      <b/>
      <sz val="8"/>
      <color indexed="8"/>
      <name val="Arial"/>
      <family val="2"/>
    </font>
    <font>
      <b/>
      <sz val="8"/>
      <color indexed="18"/>
      <name val="Arial"/>
      <family val="2"/>
    </font>
    <font>
      <sz val="8"/>
      <name val="Book Antiqua"/>
      <family val="1"/>
    </font>
    <font>
      <b/>
      <u/>
      <sz val="10"/>
      <name val="Arial"/>
      <family val="2"/>
    </font>
    <font>
      <sz val="10"/>
      <name val="Arial"/>
      <family val="2"/>
    </font>
    <font>
      <b/>
      <sz val="12"/>
      <name val="Times New Roman CE"/>
    </font>
    <font>
      <i/>
      <sz val="12"/>
      <name val="Times New Roman CE"/>
      <charset val="238"/>
    </font>
    <font>
      <sz val="12"/>
      <name val="Arial"/>
      <family val="2"/>
    </font>
    <font>
      <sz val="10"/>
      <name val="Times New Roman"/>
      <family val="1"/>
    </font>
    <font>
      <sz val="11"/>
      <name val="Times New Roman CE"/>
      <charset val="238"/>
    </font>
    <font>
      <sz val="11"/>
      <name val="Arial"/>
      <family val="2"/>
    </font>
    <font>
      <sz val="11"/>
      <name val="Times New Roman CE"/>
    </font>
    <font>
      <b/>
      <sz val="11"/>
      <name val="Times New Roman CE"/>
    </font>
    <font>
      <b/>
      <i/>
      <sz val="12"/>
      <name val="Times New Roman CE"/>
    </font>
    <font>
      <b/>
      <i/>
      <sz val="8"/>
      <name val="Times New Roman CE"/>
      <charset val="238"/>
    </font>
    <font>
      <b/>
      <sz val="9"/>
      <name val="Arial"/>
      <family val="2"/>
    </font>
    <font>
      <i/>
      <sz val="8"/>
      <name val="Times New Roman CE"/>
    </font>
    <font>
      <i/>
      <sz val="11"/>
      <name val="Times New Roman CE"/>
      <charset val="238"/>
    </font>
    <font>
      <i/>
      <sz val="8"/>
      <name val="Arial"/>
      <family val="2"/>
    </font>
    <font>
      <sz val="12"/>
      <name val="Times New Roman CE"/>
      <charset val="238"/>
    </font>
    <font>
      <b/>
      <sz val="8"/>
      <color rgb="FFFF0000"/>
      <name val="Arial"/>
      <family val="2"/>
    </font>
    <font>
      <sz val="8"/>
      <color theme="1"/>
      <name val="Times New Roman"/>
      <family val="1"/>
    </font>
    <font>
      <sz val="10"/>
      <name val="Calibri"/>
      <family val="2"/>
    </font>
    <font>
      <sz val="9"/>
      <name val="Calibri"/>
      <family val="2"/>
    </font>
    <font>
      <b/>
      <sz val="10"/>
      <name val="Calibri"/>
      <family val="2"/>
    </font>
    <font>
      <b/>
      <i/>
      <sz val="10"/>
      <name val="Calibri"/>
      <family val="2"/>
    </font>
    <font>
      <b/>
      <i/>
      <sz val="9"/>
      <name val="Calibri"/>
      <family val="2"/>
    </font>
    <font>
      <b/>
      <i/>
      <sz val="14"/>
      <name val="Calibri"/>
      <family val="2"/>
    </font>
    <font>
      <i/>
      <sz val="10"/>
      <name val="Calibri"/>
      <family val="2"/>
    </font>
    <font>
      <sz val="8"/>
      <name val="Calibri"/>
      <family val="2"/>
    </font>
    <font>
      <i/>
      <sz val="9"/>
      <name val="Calibri"/>
      <family val="2"/>
    </font>
    <font>
      <b/>
      <sz val="9"/>
      <name val="Calibri"/>
      <family val="2"/>
    </font>
    <font>
      <b/>
      <sz val="11"/>
      <name val="Calibri"/>
      <family val="2"/>
    </font>
    <font>
      <b/>
      <i/>
      <sz val="10"/>
      <name val="Times New Roman"/>
      <family val="1"/>
    </font>
    <font>
      <b/>
      <sz val="10"/>
      <name val="Times New Roman"/>
      <family val="1"/>
    </font>
    <font>
      <b/>
      <sz val="6"/>
      <name val="Times New Roman"/>
      <family val="1"/>
    </font>
    <font>
      <sz val="11"/>
      <color theme="1"/>
      <name val="Times New Roman"/>
      <family val="1"/>
    </font>
    <font>
      <sz val="10"/>
      <name val="Arial"/>
      <family val="2"/>
      <charset val="238"/>
    </font>
    <font>
      <sz val="7"/>
      <name val="Arial"/>
      <family val="2"/>
    </font>
    <font>
      <sz val="7"/>
      <color indexed="62"/>
      <name val="Arial"/>
      <family val="2"/>
    </font>
    <font>
      <b/>
      <sz val="7"/>
      <color indexed="62"/>
      <name val="Arial"/>
      <family val="2"/>
    </font>
    <font>
      <b/>
      <i/>
      <sz val="7"/>
      <name val="Times New Roman CE"/>
      <charset val="238"/>
    </font>
    <font>
      <b/>
      <i/>
      <sz val="7"/>
      <color indexed="62"/>
      <name val="Arial"/>
      <family val="2"/>
    </font>
    <font>
      <b/>
      <sz val="11"/>
      <name val="Times New Roman"/>
      <family val="1"/>
    </font>
    <font>
      <b/>
      <sz val="8"/>
      <color indexed="62"/>
      <name val="Times New Roman"/>
      <family val="1"/>
    </font>
    <font>
      <sz val="7"/>
      <color indexed="62"/>
      <name val="Times New Roman"/>
      <family val="1"/>
    </font>
    <font>
      <sz val="7"/>
      <name val="Times New Roman"/>
      <family val="1"/>
    </font>
    <font>
      <b/>
      <sz val="7"/>
      <name val="Times New Roman"/>
      <family val="1"/>
    </font>
    <font>
      <b/>
      <sz val="7"/>
      <color indexed="62"/>
      <name val="Times New Roman"/>
      <family val="1"/>
    </font>
    <font>
      <b/>
      <i/>
      <sz val="8"/>
      <name val="Times New Roman"/>
      <family val="1"/>
    </font>
    <font>
      <i/>
      <sz val="8"/>
      <name val="Times New Roman"/>
      <family val="1"/>
    </font>
  </fonts>
  <fills count="47">
    <fill>
      <patternFill patternType="none"/>
    </fill>
    <fill>
      <patternFill patternType="gray125"/>
    </fill>
    <fill>
      <patternFill patternType="solid">
        <fgColor indexed="9"/>
        <bgColor indexed="9"/>
      </patternFill>
    </fill>
    <fill>
      <patternFill patternType="gray125">
        <fgColor indexed="12"/>
        <bgColor indexed="9"/>
      </patternFill>
    </fill>
    <fill>
      <patternFill patternType="solid">
        <fgColor indexed="22"/>
        <bgColor indexed="32"/>
      </patternFill>
    </fill>
    <fill>
      <patternFill patternType="solid">
        <fgColor indexed="22"/>
        <bgColor indexed="9"/>
      </patternFill>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11"/>
        <bgColor indexed="64"/>
      </patternFill>
    </fill>
    <fill>
      <patternFill patternType="solid">
        <fgColor indexed="42"/>
        <bgColor indexed="32"/>
      </patternFill>
    </fill>
    <fill>
      <patternFill patternType="lightGray">
        <fgColor indexed="41"/>
      </patternFill>
    </fill>
    <fill>
      <patternFill patternType="solid">
        <fgColor indexed="42"/>
        <bgColor indexed="9"/>
      </patternFill>
    </fill>
    <fill>
      <patternFill patternType="lightGray">
        <fgColor indexed="42"/>
      </patternFill>
    </fill>
    <fill>
      <patternFill patternType="gray125">
        <fgColor indexed="42"/>
      </patternFill>
    </fill>
    <fill>
      <patternFill patternType="gray125">
        <fgColor indexed="42"/>
        <bgColor indexed="42"/>
      </patternFill>
    </fill>
    <fill>
      <patternFill patternType="lightGray">
        <fgColor indexed="22"/>
        <bgColor indexed="41"/>
      </patternFill>
    </fill>
    <fill>
      <patternFill patternType="mediumGray">
        <fgColor indexed="42"/>
        <bgColor indexed="11"/>
      </patternFill>
    </fill>
    <fill>
      <patternFill patternType="darkGray">
        <fgColor indexed="41"/>
      </patternFill>
    </fill>
    <fill>
      <patternFill patternType="solid">
        <fgColor theme="0"/>
        <bgColor indexed="64"/>
      </patternFill>
    </fill>
    <fill>
      <patternFill patternType="solid">
        <fgColor rgb="FFFFFF00"/>
        <bgColor indexed="64"/>
      </patternFill>
    </fill>
    <fill>
      <patternFill patternType="lightGray">
        <fgColor indexed="41"/>
        <bgColor theme="0" tint="-4.9989318521683403E-2"/>
      </patternFill>
    </fill>
    <fill>
      <patternFill patternType="solid">
        <fgColor theme="0" tint="-4.9989318521683403E-2"/>
        <bgColor indexed="32"/>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FFCC"/>
        <bgColor indexed="64"/>
      </patternFill>
    </fill>
    <fill>
      <patternFill patternType="solid">
        <fgColor theme="6" tint="0.79998168889431442"/>
        <bgColor indexed="64"/>
      </patternFill>
    </fill>
    <fill>
      <patternFill patternType="solid">
        <fgColor rgb="FFCCECFF"/>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6" tint="0.59999389629810485"/>
        <bgColor indexed="9"/>
      </patternFill>
    </fill>
    <fill>
      <patternFill patternType="solid">
        <fgColor theme="5" tint="0.79998168889431442"/>
        <bgColor indexed="64"/>
      </patternFill>
    </fill>
    <fill>
      <patternFill patternType="solid">
        <fgColor indexed="27"/>
        <bgColor indexed="64"/>
      </patternFill>
    </fill>
    <fill>
      <patternFill patternType="solid">
        <fgColor indexed="43"/>
        <bgColor indexed="9"/>
      </patternFill>
    </fill>
    <fill>
      <patternFill patternType="solid">
        <fgColor indexed="27"/>
        <bgColor indexed="9"/>
      </patternFill>
    </fill>
    <fill>
      <patternFill patternType="solid">
        <fgColor theme="9" tint="0.79998168889431442"/>
        <bgColor indexed="64"/>
      </patternFill>
    </fill>
    <fill>
      <patternFill patternType="solid">
        <fgColor indexed="22"/>
        <bgColor indexed="26"/>
      </patternFill>
    </fill>
    <fill>
      <patternFill patternType="lightGray">
        <fgColor indexed="44"/>
        <bgColor indexed="9"/>
      </patternFill>
    </fill>
    <fill>
      <patternFill patternType="lightGray">
        <fgColor indexed="22"/>
      </patternFill>
    </fill>
    <fill>
      <patternFill patternType="lightGray">
        <fgColor indexed="44"/>
      </patternFill>
    </fill>
  </fills>
  <borders count="246">
    <border>
      <left/>
      <right/>
      <top/>
      <bottom/>
      <diagonal/>
    </border>
    <border>
      <left/>
      <right/>
      <top style="double">
        <color indexed="64"/>
      </top>
      <bottom/>
      <diagonal/>
    </border>
    <border>
      <left style="thick">
        <color indexed="64"/>
      </left>
      <right/>
      <top/>
      <bottom/>
      <diagonal/>
    </border>
    <border>
      <left/>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thick">
        <color indexed="64"/>
      </right>
      <top/>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style="thin">
        <color indexed="64"/>
      </right>
      <top/>
      <bottom/>
      <diagonal/>
    </border>
    <border>
      <left/>
      <right style="thin">
        <color indexed="64"/>
      </right>
      <top/>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bottom style="dotted">
        <color indexed="64"/>
      </bottom>
      <diagonal/>
    </border>
    <border>
      <left/>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top style="thin">
        <color indexed="64"/>
      </top>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bottom style="thick">
        <color indexed="64"/>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style="thick">
        <color indexed="64"/>
      </left>
      <right/>
      <top/>
      <bottom style="dotted">
        <color indexed="64"/>
      </bottom>
      <diagonal/>
    </border>
    <border>
      <left style="thin">
        <color indexed="64"/>
      </left>
      <right style="thick">
        <color indexed="64"/>
      </right>
      <top/>
      <bottom style="dotted">
        <color indexed="64"/>
      </bottom>
      <diagonal/>
    </border>
    <border>
      <left style="thick">
        <color indexed="64"/>
      </left>
      <right/>
      <top style="dotted">
        <color indexed="64"/>
      </top>
      <bottom style="dotted">
        <color indexed="64"/>
      </bottom>
      <diagonal/>
    </border>
    <border>
      <left style="thin">
        <color indexed="64"/>
      </left>
      <right style="thick">
        <color indexed="64"/>
      </right>
      <top style="dotted">
        <color indexed="64"/>
      </top>
      <bottom style="dotted">
        <color indexed="64"/>
      </bottom>
      <diagonal/>
    </border>
    <border>
      <left style="thick">
        <color indexed="64"/>
      </left>
      <right/>
      <top style="dotted">
        <color indexed="64"/>
      </top>
      <bottom style="thick">
        <color indexed="64"/>
      </bottom>
      <diagonal/>
    </border>
    <border>
      <left/>
      <right/>
      <top style="dotted">
        <color indexed="64"/>
      </top>
      <bottom style="thick">
        <color indexed="64"/>
      </bottom>
      <diagonal/>
    </border>
    <border>
      <left/>
      <right style="thin">
        <color indexed="64"/>
      </right>
      <top style="dotted">
        <color indexed="64"/>
      </top>
      <bottom style="thick">
        <color indexed="64"/>
      </bottom>
      <diagonal/>
    </border>
    <border>
      <left style="thin">
        <color indexed="64"/>
      </left>
      <right style="dotted">
        <color indexed="64"/>
      </right>
      <top style="dotted">
        <color indexed="64"/>
      </top>
      <bottom style="thick">
        <color indexed="64"/>
      </bottom>
      <diagonal/>
    </border>
    <border>
      <left style="dotted">
        <color indexed="64"/>
      </left>
      <right style="dotted">
        <color indexed="64"/>
      </right>
      <top style="dotted">
        <color indexed="64"/>
      </top>
      <bottom style="thick">
        <color indexed="64"/>
      </bottom>
      <diagonal/>
    </border>
    <border>
      <left style="thin">
        <color indexed="64"/>
      </left>
      <right style="thick">
        <color indexed="64"/>
      </right>
      <top style="dotted">
        <color indexed="64"/>
      </top>
      <bottom style="thick">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thick">
        <color indexed="64"/>
      </bottom>
      <diagonal/>
    </border>
    <border>
      <left/>
      <right style="dotted">
        <color indexed="64"/>
      </right>
      <top/>
      <bottom style="dotted">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thick">
        <color indexed="64"/>
      </bottom>
      <diagonal/>
    </border>
    <border>
      <left/>
      <right/>
      <top style="thin">
        <color indexed="64"/>
      </top>
      <bottom style="double">
        <color indexed="64"/>
      </bottom>
      <diagonal/>
    </border>
    <border>
      <left style="thick">
        <color indexed="64"/>
      </left>
      <right style="thick">
        <color indexed="64"/>
      </right>
      <top/>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style="medium">
        <color indexed="64"/>
      </left>
      <right/>
      <top/>
      <bottom style="thin">
        <color indexed="64"/>
      </bottom>
      <diagonal/>
    </border>
    <border>
      <left style="medium">
        <color indexed="64"/>
      </left>
      <right/>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diagonal/>
    </border>
    <border>
      <left style="medium">
        <color indexed="64"/>
      </left>
      <right style="thin">
        <color indexed="64"/>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thin">
        <color indexed="64"/>
      </left>
      <right style="medium">
        <color indexed="64"/>
      </right>
      <top/>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right/>
      <top style="medium">
        <color indexed="64"/>
      </top>
      <bottom style="dotted">
        <color indexed="64"/>
      </bottom>
      <diagonal/>
    </border>
    <border>
      <left style="medium">
        <color indexed="64"/>
      </left>
      <right style="thin">
        <color indexed="64"/>
      </right>
      <top style="thin">
        <color indexed="64"/>
      </top>
      <bottom style="medium">
        <color indexed="64"/>
      </bottom>
      <diagonal/>
    </border>
    <border>
      <left style="thick">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right/>
      <top style="double">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ck">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ck">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ck">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ck">
        <color indexed="64"/>
      </left>
      <right style="medium">
        <color indexed="64"/>
      </right>
      <top/>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right style="double">
        <color indexed="64"/>
      </right>
      <top style="thin">
        <color indexed="64"/>
      </top>
      <bottom style="thin">
        <color indexed="64"/>
      </bottom>
      <diagonal/>
    </border>
    <border>
      <left style="double">
        <color indexed="64"/>
      </left>
      <right style="double">
        <color indexed="64"/>
      </right>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thick">
        <color indexed="64"/>
      </left>
      <right style="thin">
        <color indexed="64"/>
      </right>
      <top style="double">
        <color indexed="64"/>
      </top>
      <bottom style="thin">
        <color indexed="64"/>
      </bottom>
      <diagonal/>
    </border>
    <border>
      <left style="thin">
        <color indexed="64"/>
      </left>
      <right style="thick">
        <color indexed="64"/>
      </right>
      <top style="double">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top style="dotted">
        <color indexed="64"/>
      </top>
      <bottom/>
      <diagonal/>
    </border>
    <border>
      <left/>
      <right style="dotted">
        <color indexed="64"/>
      </right>
      <top style="dotted">
        <color indexed="64"/>
      </top>
      <bottom/>
      <diagonal/>
    </border>
    <border>
      <left style="thin">
        <color indexed="64"/>
      </left>
      <right style="thick">
        <color indexed="64"/>
      </right>
      <top style="dotted">
        <color indexed="64"/>
      </top>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dotted">
        <color indexed="64"/>
      </top>
      <bottom/>
      <diagonal/>
    </border>
    <border>
      <left/>
      <right/>
      <top style="dotted">
        <color indexed="64"/>
      </top>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style="thin">
        <color indexed="64"/>
      </left>
      <right style="medium">
        <color indexed="64"/>
      </right>
      <top style="dotted">
        <color indexed="64"/>
      </top>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ck">
        <color indexed="64"/>
      </left>
      <right/>
      <top style="dotted">
        <color indexed="64"/>
      </top>
      <bottom/>
      <diagonal/>
    </border>
    <border>
      <left style="thin">
        <color indexed="64"/>
      </left>
      <right style="dotted">
        <color indexed="64"/>
      </right>
      <top/>
      <bottom style="dotted">
        <color indexed="64"/>
      </bottom>
      <diagonal/>
    </border>
    <border>
      <left style="dotted">
        <color indexed="64"/>
      </left>
      <right/>
      <top/>
      <bottom style="dotted">
        <color indexed="64"/>
      </bottom>
      <diagonal/>
    </border>
    <border>
      <left/>
      <right style="thin">
        <color indexed="64"/>
      </right>
      <top style="dotted">
        <color indexed="64"/>
      </top>
      <bottom style="dotted">
        <color indexed="64"/>
      </bottom>
      <diagonal/>
    </border>
    <border>
      <left/>
      <right style="hair">
        <color indexed="64"/>
      </right>
      <top style="hair">
        <color indexed="64"/>
      </top>
      <bottom style="hair">
        <color indexed="64"/>
      </bottom>
      <diagonal/>
    </border>
    <border>
      <left/>
      <right style="thick">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top style="hair">
        <color indexed="64"/>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medium">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thin">
        <color indexed="64"/>
      </left>
      <right style="thin">
        <color indexed="64"/>
      </right>
      <top/>
      <bottom style="hair">
        <color indexed="64"/>
      </bottom>
      <diagonal/>
    </border>
    <border>
      <left/>
      <right style="medium">
        <color indexed="64"/>
      </right>
      <top style="thin">
        <color indexed="64"/>
      </top>
      <bottom style="thin">
        <color indexed="64"/>
      </bottom>
      <diagonal/>
    </border>
    <border>
      <left style="thin">
        <color indexed="64"/>
      </left>
      <right style="medium">
        <color indexed="64"/>
      </right>
      <top style="hair">
        <color indexed="64"/>
      </top>
      <bottom style="medium">
        <color indexed="64"/>
      </bottom>
      <diagonal/>
    </border>
    <border>
      <left/>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s>
  <cellStyleXfs count="32">
    <xf numFmtId="0" fontId="0" fillId="0" borderId="0"/>
    <xf numFmtId="164" fontId="3" fillId="0" borderId="0" applyFill="0" applyBorder="0" applyAlignment="0" applyProtection="0"/>
    <xf numFmtId="3" fontId="3" fillId="0" borderId="0" applyFill="0" applyBorder="0" applyAlignment="0" applyProtection="0"/>
    <xf numFmtId="5" fontId="3" fillId="0" borderId="0" applyFill="0" applyBorder="0" applyAlignment="0" applyProtection="0"/>
    <xf numFmtId="165" fontId="3" fillId="0" borderId="0" applyFill="0" applyBorder="0" applyAlignment="0" applyProtection="0"/>
    <xf numFmtId="2" fontId="3" fillId="0" borderId="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 fillId="0" borderId="0" applyNumberFormat="0" applyFill="0" applyBorder="0" applyAlignment="0" applyProtection="0"/>
    <xf numFmtId="0" fontId="3" fillId="0" borderId="0"/>
    <xf numFmtId="0" fontId="3" fillId="0" borderId="0" applyNumberFormat="0" applyFill="0" applyBorder="0" applyAlignment="0" applyProtection="0"/>
    <xf numFmtId="0" fontId="3" fillId="0" borderId="0"/>
    <xf numFmtId="0" fontId="3" fillId="0" borderId="0"/>
    <xf numFmtId="0" fontId="3" fillId="0" borderId="0" applyNumberFormat="0" applyFill="0" applyBorder="0" applyAlignment="0" applyProtection="0"/>
    <xf numFmtId="0" fontId="3" fillId="0" borderId="0"/>
    <xf numFmtId="0" fontId="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10" fontId="3" fillId="0" borderId="0" applyFill="0" applyBorder="0" applyAlignment="0" applyProtection="0"/>
    <xf numFmtId="0" fontId="3" fillId="0" borderId="1" applyNumberFormat="0" applyFill="0" applyAlignment="0" applyProtection="0"/>
    <xf numFmtId="0" fontId="3" fillId="0" borderId="0"/>
    <xf numFmtId="171" fontId="3" fillId="0" borderId="0" applyFont="0" applyFill="0" applyBorder="0" applyAlignment="0" applyProtection="0"/>
    <xf numFmtId="0" fontId="1" fillId="0" borderId="0"/>
    <xf numFmtId="0" fontId="3" fillId="0" borderId="0">
      <alignment vertical="top"/>
    </xf>
    <xf numFmtId="0" fontId="1" fillId="0" borderId="0"/>
    <xf numFmtId="43" fontId="1" fillId="0" borderId="0" applyFont="0" applyFill="0" applyBorder="0" applyAlignment="0" applyProtection="0"/>
    <xf numFmtId="43" fontId="3" fillId="0" borderId="0" applyFont="0" applyFill="0" applyBorder="0" applyAlignment="0" applyProtection="0"/>
    <xf numFmtId="0" fontId="3" fillId="0" borderId="0"/>
    <xf numFmtId="0" fontId="92" fillId="0" borderId="0"/>
  </cellStyleXfs>
  <cellXfs count="1862">
    <xf numFmtId="0" fontId="0" fillId="0" borderId="0" xfId="0"/>
    <xf numFmtId="0" fontId="6" fillId="0" borderId="0" xfId="0" applyFont="1"/>
    <xf numFmtId="0" fontId="6" fillId="2" borderId="0" xfId="0" applyFont="1" applyFill="1"/>
    <xf numFmtId="0" fontId="6" fillId="0" borderId="2" xfId="0" applyFont="1" applyBorder="1"/>
    <xf numFmtId="0" fontId="6" fillId="2" borderId="3" xfId="0" applyFont="1" applyFill="1" applyBorder="1"/>
    <xf numFmtId="0" fontId="6" fillId="2" borderId="4" xfId="0" applyFont="1" applyFill="1" applyBorder="1"/>
    <xf numFmtId="0" fontId="6" fillId="0" borderId="5" xfId="0" applyFont="1" applyBorder="1"/>
    <xf numFmtId="0" fontId="6" fillId="2" borderId="5" xfId="0" applyFont="1" applyFill="1" applyBorder="1"/>
    <xf numFmtId="0" fontId="6" fillId="2" borderId="6" xfId="0" applyFont="1" applyFill="1" applyBorder="1"/>
    <xf numFmtId="0" fontId="8" fillId="0" borderId="2" xfId="0" applyFont="1" applyBorder="1"/>
    <xf numFmtId="0" fontId="3" fillId="0" borderId="3" xfId="0" applyFont="1" applyBorder="1"/>
    <xf numFmtId="0" fontId="8" fillId="2" borderId="2" xfId="0" applyFont="1" applyFill="1" applyBorder="1"/>
    <xf numFmtId="0" fontId="8" fillId="2" borderId="7" xfId="0" applyFont="1" applyFill="1" applyBorder="1"/>
    <xf numFmtId="0" fontId="9" fillId="2" borderId="8" xfId="0" applyFont="1" applyFill="1" applyBorder="1"/>
    <xf numFmtId="0" fontId="9" fillId="2" borderId="3" xfId="0" applyFont="1" applyFill="1" applyBorder="1"/>
    <xf numFmtId="0" fontId="9" fillId="2" borderId="9" xfId="0" applyFont="1" applyFill="1" applyBorder="1"/>
    <xf numFmtId="0" fontId="11" fillId="0" borderId="10" xfId="0" applyFont="1" applyBorder="1" applyAlignment="1">
      <alignment horizontal="center"/>
    </xf>
    <xf numFmtId="0" fontId="11" fillId="2" borderId="11" xfId="0" applyFont="1" applyFill="1" applyBorder="1" applyAlignment="1">
      <alignment horizontal="center"/>
    </xf>
    <xf numFmtId="0" fontId="11" fillId="2" borderId="12" xfId="0" applyFont="1" applyFill="1" applyBorder="1" applyAlignment="1">
      <alignment horizontal="center"/>
    </xf>
    <xf numFmtId="0" fontId="11" fillId="2" borderId="13" xfId="0" applyFont="1" applyFill="1" applyBorder="1" applyAlignment="1">
      <alignment horizontal="center"/>
    </xf>
    <xf numFmtId="0" fontId="11" fillId="0" borderId="12" xfId="0" applyFont="1" applyBorder="1" applyAlignment="1">
      <alignment horizontal="center"/>
    </xf>
    <xf numFmtId="0" fontId="11" fillId="2" borderId="14" xfId="0" applyFont="1" applyFill="1" applyBorder="1" applyAlignment="1">
      <alignment horizontal="center"/>
    </xf>
    <xf numFmtId="0" fontId="11" fillId="2" borderId="15" xfId="0" applyFont="1" applyFill="1" applyBorder="1" applyAlignment="1">
      <alignment horizontal="center"/>
    </xf>
    <xf numFmtId="0" fontId="11" fillId="2" borderId="16" xfId="0" applyFont="1" applyFill="1" applyBorder="1" applyAlignment="1">
      <alignment horizontal="center"/>
    </xf>
    <xf numFmtId="0" fontId="9" fillId="2" borderId="0" xfId="0" applyFont="1" applyFill="1" applyBorder="1" applyAlignment="1">
      <alignment horizontal="centerContinuous"/>
    </xf>
    <xf numFmtId="0" fontId="3" fillId="0" borderId="0" xfId="0" applyFont="1" applyBorder="1"/>
    <xf numFmtId="0" fontId="6" fillId="0" borderId="0" xfId="0" applyFont="1" applyBorder="1"/>
    <xf numFmtId="0" fontId="11" fillId="2" borderId="0" xfId="0" applyFont="1" applyFill="1" applyBorder="1" applyAlignment="1">
      <alignment horizontal="center"/>
    </xf>
    <xf numFmtId="0" fontId="8" fillId="2" borderId="0" xfId="0" applyFont="1" applyFill="1" applyBorder="1"/>
    <xf numFmtId="0" fontId="6" fillId="2" borderId="0" xfId="0" applyFont="1" applyFill="1" applyBorder="1"/>
    <xf numFmtId="0" fontId="9" fillId="2" borderId="0" xfId="0" applyFont="1" applyFill="1" applyBorder="1"/>
    <xf numFmtId="0" fontId="8" fillId="0" borderId="0" xfId="0" applyFont="1" applyBorder="1"/>
    <xf numFmtId="0" fontId="8" fillId="2" borderId="0" xfId="0" applyFont="1" applyFill="1" applyBorder="1" applyAlignment="1">
      <alignment horizontal="center"/>
    </xf>
    <xf numFmtId="0" fontId="9" fillId="0" borderId="0" xfId="0" applyFont="1" applyBorder="1"/>
    <xf numFmtId="0" fontId="11" fillId="0" borderId="0" xfId="0" applyFont="1" applyBorder="1" applyAlignment="1">
      <alignment horizontal="center"/>
    </xf>
    <xf numFmtId="0" fontId="7" fillId="0" borderId="0" xfId="0" applyFont="1" applyBorder="1"/>
    <xf numFmtId="0" fontId="7" fillId="2" borderId="0" xfId="0" applyFont="1" applyFill="1" applyBorder="1"/>
    <xf numFmtId="0" fontId="8" fillId="3" borderId="0" xfId="0" applyFont="1" applyFill="1" applyBorder="1" applyAlignment="1">
      <alignment horizontal="centerContinuous"/>
    </xf>
    <xf numFmtId="0" fontId="6" fillId="0" borderId="0" xfId="0" applyFont="1" applyBorder="1" applyAlignment="1">
      <alignment horizontal="right"/>
    </xf>
    <xf numFmtId="0" fontId="8" fillId="0" borderId="0" xfId="0" applyFont="1" applyBorder="1" applyAlignment="1">
      <alignment horizontal="right"/>
    </xf>
    <xf numFmtId="0" fontId="0" fillId="0" borderId="0" xfId="0" applyBorder="1"/>
    <xf numFmtId="0" fontId="9" fillId="0" borderId="17" xfId="0" applyFont="1" applyBorder="1"/>
    <xf numFmtId="0" fontId="9" fillId="0" borderId="18" xfId="0" applyFont="1" applyBorder="1"/>
    <xf numFmtId="0" fontId="9" fillId="2" borderId="19" xfId="0" applyFont="1" applyFill="1" applyBorder="1"/>
    <xf numFmtId="0" fontId="11" fillId="0" borderId="20" xfId="0" applyFont="1" applyBorder="1" applyAlignment="1">
      <alignment horizontal="center"/>
    </xf>
    <xf numFmtId="0" fontId="10" fillId="0" borderId="0" xfId="0" applyFont="1" applyBorder="1" applyAlignment="1">
      <alignment horizontal="center"/>
    </xf>
    <xf numFmtId="0" fontId="9" fillId="2" borderId="18" xfId="0" applyFont="1" applyFill="1" applyBorder="1"/>
    <xf numFmtId="0" fontId="6" fillId="0" borderId="21" xfId="0" applyFont="1" applyBorder="1"/>
    <xf numFmtId="0" fontId="6" fillId="2" borderId="21" xfId="0" applyFont="1" applyFill="1" applyBorder="1"/>
    <xf numFmtId="0" fontId="3" fillId="0" borderId="18" xfId="0" applyFont="1" applyBorder="1"/>
    <xf numFmtId="0" fontId="6" fillId="2" borderId="18" xfId="0" applyFont="1" applyFill="1" applyBorder="1"/>
    <xf numFmtId="0" fontId="8" fillId="0" borderId="22" xfId="0" applyFont="1" applyBorder="1"/>
    <xf numFmtId="0" fontId="6" fillId="0" borderId="22" xfId="0" applyFont="1" applyBorder="1"/>
    <xf numFmtId="0" fontId="8" fillId="2" borderId="22" xfId="0" applyFont="1" applyFill="1" applyBorder="1"/>
    <xf numFmtId="0" fontId="6" fillId="2" borderId="23" xfId="0" applyFont="1" applyFill="1" applyBorder="1"/>
    <xf numFmtId="0" fontId="8" fillId="2" borderId="0" xfId="0" applyFont="1" applyFill="1" applyBorder="1" applyAlignment="1">
      <alignment horizontal="left"/>
    </xf>
    <xf numFmtId="0" fontId="11" fillId="2" borderId="20" xfId="0" applyFont="1" applyFill="1" applyBorder="1" applyAlignment="1">
      <alignment horizontal="center"/>
    </xf>
    <xf numFmtId="0" fontId="6" fillId="2" borderId="24" xfId="0" applyFont="1" applyFill="1" applyBorder="1"/>
    <xf numFmtId="0" fontId="9" fillId="2" borderId="25" xfId="0" applyFont="1" applyFill="1" applyBorder="1"/>
    <xf numFmtId="0" fontId="9" fillId="2" borderId="26" xfId="0" applyFont="1" applyFill="1" applyBorder="1"/>
    <xf numFmtId="0" fontId="8" fillId="2" borderId="27" xfId="0" applyFont="1" applyFill="1" applyBorder="1"/>
    <xf numFmtId="0" fontId="9" fillId="2" borderId="23" xfId="0" applyFont="1" applyFill="1" applyBorder="1"/>
    <xf numFmtId="0" fontId="9" fillId="2" borderId="21" xfId="0" applyFont="1" applyFill="1" applyBorder="1"/>
    <xf numFmtId="0" fontId="9" fillId="2" borderId="24" xfId="0" applyFont="1" applyFill="1" applyBorder="1"/>
    <xf numFmtId="0" fontId="11" fillId="2" borderId="28" xfId="0" applyFont="1" applyFill="1" applyBorder="1" applyAlignment="1">
      <alignment horizontal="center"/>
    </xf>
    <xf numFmtId="0" fontId="11" fillId="4" borderId="14" xfId="0" applyFont="1" applyFill="1" applyBorder="1" applyAlignment="1">
      <alignment horizontal="center"/>
    </xf>
    <xf numFmtId="0" fontId="11" fillId="5" borderId="14" xfId="0" applyFont="1" applyFill="1" applyBorder="1" applyAlignment="1">
      <alignment horizontal="center"/>
    </xf>
    <xf numFmtId="0" fontId="3" fillId="0" borderId="0" xfId="16" applyBorder="1"/>
    <xf numFmtId="0" fontId="6" fillId="0" borderId="0" xfId="15" applyFont="1" applyBorder="1"/>
    <xf numFmtId="0" fontId="3" fillId="0" borderId="0" xfId="19"/>
    <xf numFmtId="3" fontId="17" fillId="0" borderId="0" xfId="19" applyNumberFormat="1" applyFont="1" applyBorder="1"/>
    <xf numFmtId="3" fontId="15" fillId="0" borderId="0" xfId="19" applyNumberFormat="1" applyFont="1" applyBorder="1"/>
    <xf numFmtId="0" fontId="15" fillId="0" borderId="0" xfId="19" applyFont="1"/>
    <xf numFmtId="3" fontId="15" fillId="0" borderId="0" xfId="19" applyNumberFormat="1" applyFont="1" applyBorder="1" applyAlignment="1">
      <alignment horizontal="center"/>
    </xf>
    <xf numFmtId="3" fontId="15" fillId="0" borderId="29" xfId="19" applyNumberFormat="1" applyFont="1" applyBorder="1" applyAlignment="1">
      <alignment horizontal="center"/>
    </xf>
    <xf numFmtId="3" fontId="15" fillId="0" borderId="30" xfId="19" applyNumberFormat="1" applyFont="1" applyBorder="1" applyAlignment="1">
      <alignment horizontal="center"/>
    </xf>
    <xf numFmtId="3" fontId="15" fillId="0" borderId="15" xfId="19" applyNumberFormat="1" applyFont="1" applyBorder="1" applyAlignment="1">
      <alignment horizontal="center"/>
    </xf>
    <xf numFmtId="0" fontId="15" fillId="0" borderId="0" xfId="19" applyFont="1" applyAlignment="1">
      <alignment horizontal="center"/>
    </xf>
    <xf numFmtId="3" fontId="15" fillId="0" borderId="22" xfId="19" applyNumberFormat="1" applyFont="1" applyBorder="1"/>
    <xf numFmtId="3" fontId="15" fillId="0" borderId="31" xfId="19" applyNumberFormat="1" applyFont="1" applyBorder="1"/>
    <xf numFmtId="3" fontId="15" fillId="0" borderId="32" xfId="19" applyNumberFormat="1" applyFont="1" applyBorder="1"/>
    <xf numFmtId="3" fontId="15" fillId="0" borderId="33" xfId="19" applyNumberFormat="1" applyFont="1" applyBorder="1"/>
    <xf numFmtId="3" fontId="15" fillId="0" borderId="27" xfId="19" applyNumberFormat="1" applyFont="1" applyBorder="1"/>
    <xf numFmtId="3" fontId="15" fillId="0" borderId="0" xfId="19" applyNumberFormat="1" applyFont="1"/>
    <xf numFmtId="3" fontId="17" fillId="0" borderId="0" xfId="19" applyNumberFormat="1" applyFont="1"/>
    <xf numFmtId="3" fontId="17" fillId="0" borderId="29" xfId="19" applyNumberFormat="1" applyFont="1" applyBorder="1"/>
    <xf numFmtId="49" fontId="18" fillId="0" borderId="16" xfId="19" applyNumberFormat="1" applyFont="1" applyBorder="1" applyAlignment="1">
      <alignment horizontal="center" wrapText="1"/>
    </xf>
    <xf numFmtId="49" fontId="18" fillId="0" borderId="0" xfId="19" applyNumberFormat="1" applyFont="1" applyBorder="1" applyAlignment="1">
      <alignment horizontal="center"/>
    </xf>
    <xf numFmtId="49" fontId="18" fillId="0" borderId="0" xfId="19" applyNumberFormat="1" applyFont="1" applyAlignment="1">
      <alignment horizontal="center"/>
    </xf>
    <xf numFmtId="3" fontId="17" fillId="0" borderId="34" xfId="19" applyNumberFormat="1" applyFont="1" applyBorder="1"/>
    <xf numFmtId="3" fontId="17" fillId="0" borderId="35" xfId="19" applyNumberFormat="1" applyFont="1" applyBorder="1"/>
    <xf numFmtId="3" fontId="17" fillId="0" borderId="36" xfId="19" applyNumberFormat="1" applyFont="1" applyBorder="1"/>
    <xf numFmtId="3" fontId="17" fillId="0" borderId="37" xfId="19" applyNumberFormat="1" applyFont="1" applyBorder="1"/>
    <xf numFmtId="3" fontId="17" fillId="0" borderId="38" xfId="19" applyNumberFormat="1" applyFont="1" applyBorder="1"/>
    <xf numFmtId="3" fontId="17" fillId="0" borderId="39" xfId="19" applyNumberFormat="1" applyFont="1" applyBorder="1"/>
    <xf numFmtId="3" fontId="17" fillId="0" borderId="40" xfId="19" applyNumberFormat="1" applyFont="1" applyBorder="1"/>
    <xf numFmtId="3" fontId="15" fillId="0" borderId="38" xfId="19" applyNumberFormat="1" applyFont="1" applyBorder="1"/>
    <xf numFmtId="3" fontId="15" fillId="0" borderId="39" xfId="19" applyNumberFormat="1" applyFont="1" applyBorder="1"/>
    <xf numFmtId="3" fontId="15" fillId="0" borderId="40" xfId="19" applyNumberFormat="1" applyFont="1" applyBorder="1"/>
    <xf numFmtId="0" fontId="11" fillId="2" borderId="31" xfId="0" applyFont="1" applyFill="1" applyBorder="1"/>
    <xf numFmtId="0" fontId="6" fillId="0" borderId="33" xfId="0" applyFont="1" applyBorder="1" applyAlignment="1">
      <alignment horizontal="center"/>
    </xf>
    <xf numFmtId="0" fontId="6" fillId="0" borderId="15" xfId="0" applyFont="1" applyBorder="1" applyAlignment="1">
      <alignment horizontal="center"/>
    </xf>
    <xf numFmtId="0" fontId="11" fillId="5" borderId="41" xfId="0" applyFont="1" applyFill="1" applyBorder="1" applyAlignment="1">
      <alignment horizontal="center"/>
    </xf>
    <xf numFmtId="0" fontId="11" fillId="5" borderId="31" xfId="0" applyFont="1" applyFill="1" applyBorder="1" applyAlignment="1">
      <alignment horizontal="center"/>
    </xf>
    <xf numFmtId="0" fontId="11" fillId="0" borderId="0" xfId="0" applyFont="1" applyBorder="1" applyAlignment="1">
      <alignment horizontal="left"/>
    </xf>
    <xf numFmtId="0" fontId="9" fillId="2" borderId="42" xfId="0" applyFont="1" applyFill="1" applyBorder="1"/>
    <xf numFmtId="0" fontId="9" fillId="2" borderId="43" xfId="0" applyFont="1" applyFill="1" applyBorder="1"/>
    <xf numFmtId="0" fontId="11" fillId="4" borderId="44" xfId="0" applyFont="1" applyFill="1" applyBorder="1" applyAlignment="1">
      <alignment horizontal="center"/>
    </xf>
    <xf numFmtId="0" fontId="6" fillId="2" borderId="22" xfId="0" applyFont="1" applyFill="1" applyBorder="1"/>
    <xf numFmtId="0" fontId="6" fillId="2" borderId="9" xfId="0" applyFont="1" applyFill="1" applyBorder="1"/>
    <xf numFmtId="0" fontId="8" fillId="2" borderId="7" xfId="0" applyFont="1" applyFill="1" applyBorder="1" applyAlignment="1">
      <alignment horizontal="centerContinuous"/>
    </xf>
    <xf numFmtId="0" fontId="9" fillId="2" borderId="7" xfId="0" applyFont="1" applyFill="1" applyBorder="1" applyAlignment="1">
      <alignment horizontal="centerContinuous"/>
    </xf>
    <xf numFmtId="0" fontId="11" fillId="5" borderId="45" xfId="0" applyFont="1" applyFill="1" applyBorder="1" applyAlignment="1">
      <alignment horizontal="center"/>
    </xf>
    <xf numFmtId="0" fontId="3" fillId="0" borderId="15" xfId="15" applyFont="1" applyBorder="1"/>
    <xf numFmtId="0" fontId="6" fillId="0" borderId="15" xfId="15" applyFont="1" applyBorder="1"/>
    <xf numFmtId="0" fontId="3" fillId="0" borderId="31" xfId="16" applyBorder="1"/>
    <xf numFmtId="0" fontId="3" fillId="0" borderId="33" xfId="15" applyFont="1" applyBorder="1"/>
    <xf numFmtId="0" fontId="3" fillId="0" borderId="33" xfId="16" applyBorder="1"/>
    <xf numFmtId="3" fontId="17" fillId="0" borderId="2" xfId="19" applyNumberFormat="1" applyFont="1" applyBorder="1"/>
    <xf numFmtId="3" fontId="17" fillId="0" borderId="3" xfId="19" applyNumberFormat="1" applyFont="1" applyBorder="1"/>
    <xf numFmtId="3" fontId="15" fillId="0" borderId="3" xfId="19" applyNumberFormat="1" applyFont="1" applyBorder="1"/>
    <xf numFmtId="0" fontId="3" fillId="0" borderId="9" xfId="19" applyBorder="1"/>
    <xf numFmtId="3" fontId="15" fillId="0" borderId="2" xfId="19" applyNumberFormat="1" applyFont="1" applyBorder="1" applyAlignment="1">
      <alignment horizontal="center"/>
    </xf>
    <xf numFmtId="3" fontId="15" fillId="0" borderId="2" xfId="19" applyNumberFormat="1" applyFont="1" applyBorder="1"/>
    <xf numFmtId="0" fontId="15" fillId="0" borderId="7" xfId="19" applyFont="1" applyBorder="1"/>
    <xf numFmtId="3" fontId="15" fillId="0" borderId="4" xfId="19" applyNumberFormat="1" applyFont="1" applyBorder="1"/>
    <xf numFmtId="3" fontId="15" fillId="0" borderId="5" xfId="19" applyNumberFormat="1" applyFont="1" applyBorder="1"/>
    <xf numFmtId="3" fontId="15" fillId="0" borderId="46" xfId="19" applyNumberFormat="1" applyFont="1" applyBorder="1"/>
    <xf numFmtId="0" fontId="15" fillId="0" borderId="6" xfId="19" applyFont="1" applyBorder="1"/>
    <xf numFmtId="3" fontId="17" fillId="0" borderId="8" xfId="19" applyNumberFormat="1" applyFont="1" applyBorder="1"/>
    <xf numFmtId="49" fontId="17" fillId="0" borderId="47" xfId="19" applyNumberFormat="1" applyFont="1" applyBorder="1" applyAlignment="1">
      <alignment horizontal="center"/>
    </xf>
    <xf numFmtId="49" fontId="17" fillId="0" borderId="48" xfId="19" applyNumberFormat="1" applyFont="1" applyBorder="1" applyAlignment="1">
      <alignment horizontal="center"/>
    </xf>
    <xf numFmtId="3" fontId="17" fillId="0" borderId="49" xfId="19" applyNumberFormat="1" applyFont="1" applyBorder="1"/>
    <xf numFmtId="49" fontId="18" fillId="0" borderId="50" xfId="19" applyNumberFormat="1" applyFont="1" applyBorder="1" applyAlignment="1">
      <alignment horizontal="center" wrapText="1"/>
    </xf>
    <xf numFmtId="3" fontId="17" fillId="0" borderId="51" xfId="19" applyNumberFormat="1" applyFont="1" applyBorder="1"/>
    <xf numFmtId="3" fontId="17" fillId="0" borderId="52" xfId="19" applyNumberFormat="1" applyFont="1" applyBorder="1"/>
    <xf numFmtId="3" fontId="17" fillId="0" borderId="53" xfId="19" applyNumberFormat="1" applyFont="1" applyBorder="1"/>
    <xf numFmtId="3" fontId="17" fillId="0" borderId="54" xfId="19" applyNumberFormat="1" applyFont="1" applyBorder="1"/>
    <xf numFmtId="3" fontId="15" fillId="0" borderId="53" xfId="19" applyNumberFormat="1" applyFont="1" applyBorder="1"/>
    <xf numFmtId="3" fontId="15" fillId="0" borderId="55" xfId="19" applyNumberFormat="1" applyFont="1" applyBorder="1"/>
    <xf numFmtId="3" fontId="15" fillId="0" borderId="56" xfId="19" applyNumberFormat="1" applyFont="1" applyBorder="1"/>
    <xf numFmtId="3" fontId="15" fillId="0" borderId="57" xfId="19" applyNumberFormat="1" applyFont="1" applyBorder="1"/>
    <xf numFmtId="3" fontId="15" fillId="0" borderId="58" xfId="19" applyNumberFormat="1" applyFont="1" applyBorder="1"/>
    <xf numFmtId="3" fontId="15" fillId="0" borderId="59" xfId="19" applyNumberFormat="1" applyFont="1" applyBorder="1"/>
    <xf numFmtId="3" fontId="15" fillId="0" borderId="60" xfId="19" applyNumberFormat="1" applyFont="1" applyBorder="1"/>
    <xf numFmtId="0" fontId="3" fillId="0" borderId="0" xfId="17"/>
    <xf numFmtId="0" fontId="6" fillId="0" borderId="15" xfId="17" applyFont="1" applyBorder="1" applyAlignment="1">
      <alignment horizontal="center"/>
    </xf>
    <xf numFmtId="0" fontId="11" fillId="2" borderId="31" xfId="17" applyFont="1" applyFill="1" applyBorder="1"/>
    <xf numFmtId="3" fontId="17" fillId="0" borderId="61" xfId="19" applyNumberFormat="1" applyFont="1" applyBorder="1"/>
    <xf numFmtId="3" fontId="17" fillId="0" borderId="62" xfId="19" applyNumberFormat="1" applyFont="1" applyBorder="1"/>
    <xf numFmtId="3" fontId="15" fillId="0" borderId="62" xfId="19" applyNumberFormat="1" applyFont="1" applyBorder="1"/>
    <xf numFmtId="3" fontId="15" fillId="0" borderId="63" xfId="19" applyNumberFormat="1" applyFont="1" applyBorder="1"/>
    <xf numFmtId="3" fontId="17" fillId="0" borderId="64" xfId="19" applyNumberFormat="1" applyFont="1" applyBorder="1"/>
    <xf numFmtId="3" fontId="17" fillId="0" borderId="65" xfId="19" applyNumberFormat="1" applyFont="1" applyBorder="1"/>
    <xf numFmtId="3" fontId="15" fillId="0" borderId="65" xfId="19" applyNumberFormat="1" applyFont="1" applyBorder="1"/>
    <xf numFmtId="3" fontId="15" fillId="0" borderId="66" xfId="19" applyNumberFormat="1" applyFont="1" applyBorder="1"/>
    <xf numFmtId="0" fontId="11" fillId="0" borderId="15" xfId="0" applyFont="1" applyBorder="1" applyAlignment="1">
      <alignment horizontal="center"/>
    </xf>
    <xf numFmtId="0" fontId="6" fillId="0" borderId="0" xfId="17" applyFont="1" applyBorder="1" applyAlignment="1">
      <alignment horizontal="center"/>
    </xf>
    <xf numFmtId="0" fontId="11" fillId="2" borderId="67" xfId="0" applyFont="1" applyFill="1" applyBorder="1" applyAlignment="1">
      <alignment horizontal="center"/>
    </xf>
    <xf numFmtId="0" fontId="3" fillId="0" borderId="0" xfId="15" applyFont="1" applyBorder="1"/>
    <xf numFmtId="0" fontId="11" fillId="2" borderId="15" xfId="17" applyFont="1" applyFill="1" applyBorder="1"/>
    <xf numFmtId="3" fontId="15" fillId="0" borderId="69" xfId="19" applyNumberFormat="1" applyFont="1" applyBorder="1"/>
    <xf numFmtId="3" fontId="15" fillId="0" borderId="70" xfId="19" applyNumberFormat="1" applyFont="1" applyBorder="1"/>
    <xf numFmtId="3" fontId="15" fillId="0" borderId="71" xfId="19" applyNumberFormat="1" applyFont="1" applyBorder="1"/>
    <xf numFmtId="0" fontId="19" fillId="0" borderId="8" xfId="0" applyFont="1" applyFill="1" applyBorder="1" applyAlignment="1"/>
    <xf numFmtId="0" fontId="19" fillId="0" borderId="3" xfId="0" applyFont="1" applyFill="1" applyBorder="1" applyAlignment="1"/>
    <xf numFmtId="0" fontId="19" fillId="0" borderId="25" xfId="0" applyFont="1" applyFill="1" applyBorder="1" applyAlignment="1"/>
    <xf numFmtId="0" fontId="19" fillId="0" borderId="18" xfId="0" applyFont="1" applyFill="1" applyBorder="1" applyAlignment="1"/>
    <xf numFmtId="0" fontId="11" fillId="2" borderId="72" xfId="0" applyFont="1" applyFill="1" applyBorder="1" applyAlignment="1">
      <alignment horizontal="center"/>
    </xf>
    <xf numFmtId="0" fontId="11" fillId="4" borderId="32" xfId="0" applyFont="1" applyFill="1" applyBorder="1" applyAlignment="1">
      <alignment horizontal="center"/>
    </xf>
    <xf numFmtId="0" fontId="11" fillId="4" borderId="15" xfId="0" applyFont="1" applyFill="1" applyBorder="1" applyAlignment="1">
      <alignment horizontal="center"/>
    </xf>
    <xf numFmtId="0" fontId="9" fillId="2" borderId="73" xfId="0" applyFont="1" applyFill="1" applyBorder="1"/>
    <xf numFmtId="0" fontId="15" fillId="0" borderId="15" xfId="0" applyFont="1" applyBorder="1"/>
    <xf numFmtId="0" fontId="15" fillId="0" borderId="31" xfId="0" applyFont="1" applyBorder="1"/>
    <xf numFmtId="0" fontId="15" fillId="0" borderId="33" xfId="0" applyFont="1" applyBorder="1"/>
    <xf numFmtId="0" fontId="15" fillId="0" borderId="74" xfId="0" applyFont="1" applyBorder="1"/>
    <xf numFmtId="0" fontId="15" fillId="0" borderId="30" xfId="0" applyFont="1" applyBorder="1"/>
    <xf numFmtId="3" fontId="16" fillId="0" borderId="0" xfId="12" applyNumberFormat="1" applyFont="1" applyFill="1" applyBorder="1" applyAlignment="1">
      <alignment horizontal="left"/>
    </xf>
    <xf numFmtId="0" fontId="3" fillId="0" borderId="0" xfId="0" applyFont="1"/>
    <xf numFmtId="0" fontId="16" fillId="0" borderId="0" xfId="0" applyFont="1"/>
    <xf numFmtId="3" fontId="21" fillId="0" borderId="0" xfId="19" applyNumberFormat="1" applyFont="1" applyBorder="1" applyAlignment="1">
      <alignment horizontal="center"/>
    </xf>
    <xf numFmtId="3" fontId="22" fillId="0" borderId="0" xfId="19" applyNumberFormat="1" applyFont="1" applyBorder="1" applyAlignment="1">
      <alignment horizontal="center"/>
    </xf>
    <xf numFmtId="3" fontId="22" fillId="0" borderId="15" xfId="19" applyNumberFormat="1" applyFont="1" applyBorder="1" applyAlignment="1">
      <alignment horizontal="center"/>
    </xf>
    <xf numFmtId="3" fontId="21" fillId="0" borderId="32" xfId="19" applyNumberFormat="1" applyFont="1" applyBorder="1"/>
    <xf numFmtId="3" fontId="22" fillId="0" borderId="32" xfId="19" applyNumberFormat="1" applyFont="1" applyBorder="1"/>
    <xf numFmtId="3" fontId="22" fillId="0" borderId="33" xfId="19" applyNumberFormat="1" applyFont="1" applyBorder="1"/>
    <xf numFmtId="3" fontId="21" fillId="0" borderId="0" xfId="19" applyNumberFormat="1" applyFont="1" applyBorder="1"/>
    <xf numFmtId="3" fontId="21" fillId="0" borderId="0" xfId="19" applyNumberFormat="1" applyFont="1"/>
    <xf numFmtId="3" fontId="17" fillId="0" borderId="25" xfId="19" applyNumberFormat="1" applyFont="1" applyBorder="1"/>
    <xf numFmtId="3" fontId="22" fillId="0" borderId="18" xfId="19" applyNumberFormat="1" applyFont="1" applyBorder="1"/>
    <xf numFmtId="49" fontId="22" fillId="0" borderId="73" xfId="19" applyNumberFormat="1" applyFont="1" applyBorder="1" applyAlignment="1">
      <alignment horizontal="center"/>
    </xf>
    <xf numFmtId="3" fontId="17" fillId="0" borderId="76" xfId="19" applyNumberFormat="1" applyFont="1" applyBorder="1"/>
    <xf numFmtId="3" fontId="22" fillId="0" borderId="34" xfId="19" applyNumberFormat="1" applyFont="1" applyBorder="1"/>
    <xf numFmtId="3" fontId="17" fillId="0" borderId="77" xfId="19" applyNumberFormat="1" applyFont="1" applyBorder="1"/>
    <xf numFmtId="3" fontId="22" fillId="0" borderId="38" xfId="19" applyNumberFormat="1" applyFont="1" applyBorder="1"/>
    <xf numFmtId="3" fontId="17" fillId="0" borderId="78" xfId="19" applyNumberFormat="1" applyFont="1" applyBorder="1"/>
    <xf numFmtId="3" fontId="22" fillId="0" borderId="79" xfId="19" applyNumberFormat="1" applyFont="1" applyBorder="1"/>
    <xf numFmtId="0" fontId="15" fillId="0" borderId="0" xfId="0" applyFont="1" applyBorder="1"/>
    <xf numFmtId="0" fontId="3" fillId="0" borderId="0" xfId="11"/>
    <xf numFmtId="0" fontId="24" fillId="0" borderId="0" xfId="11" applyFont="1"/>
    <xf numFmtId="0" fontId="3" fillId="0" borderId="0" xfId="11" applyFont="1"/>
    <xf numFmtId="0" fontId="3" fillId="0" borderId="0" xfId="18"/>
    <xf numFmtId="2" fontId="3" fillId="0" borderId="18" xfId="14" applyNumberFormat="1" applyBorder="1"/>
    <xf numFmtId="0" fontId="3" fillId="0" borderId="26" xfId="18" applyBorder="1"/>
    <xf numFmtId="2" fontId="25" fillId="0" borderId="21" xfId="14" applyNumberFormat="1" applyFont="1" applyBorder="1" applyAlignment="1">
      <alignment horizontal="center"/>
    </xf>
    <xf numFmtId="0" fontId="3" fillId="0" borderId="24" xfId="18" applyBorder="1"/>
    <xf numFmtId="2" fontId="14" fillId="0" borderId="82" xfId="14" applyNumberFormat="1" applyFont="1" applyBorder="1" applyAlignment="1">
      <alignment horizontal="center" wrapText="1"/>
    </xf>
    <xf numFmtId="2" fontId="14" fillId="0" borderId="83" xfId="14" applyNumberFormat="1" applyFont="1" applyBorder="1" applyAlignment="1">
      <alignment horizontal="center" wrapText="1"/>
    </xf>
    <xf numFmtId="2" fontId="14" fillId="0" borderId="84" xfId="14" applyNumberFormat="1" applyFont="1" applyBorder="1" applyAlignment="1">
      <alignment horizontal="center" wrapText="1"/>
    </xf>
    <xf numFmtId="2" fontId="26" fillId="0" borderId="84" xfId="14" applyNumberFormat="1" applyFont="1" applyBorder="1" applyAlignment="1">
      <alignment horizontal="center" wrapText="1"/>
    </xf>
    <xf numFmtId="2" fontId="14" fillId="0" borderId="34" xfId="14" applyNumberFormat="1" applyFont="1" applyBorder="1" applyAlignment="1">
      <alignment horizontal="center" wrapText="1"/>
    </xf>
    <xf numFmtId="2" fontId="14" fillId="0" borderId="85" xfId="14" applyNumberFormat="1" applyFont="1" applyBorder="1" applyAlignment="1">
      <alignment horizontal="center" wrapText="1"/>
    </xf>
    <xf numFmtId="2" fontId="26" fillId="0" borderId="86" xfId="14" applyNumberFormat="1" applyFont="1" applyBorder="1" applyAlignment="1">
      <alignment horizontal="center" wrapText="1"/>
    </xf>
    <xf numFmtId="1" fontId="14" fillId="0" borderId="82" xfId="14" applyNumberFormat="1" applyFont="1" applyBorder="1" applyAlignment="1">
      <alignment horizontal="center" wrapText="1"/>
    </xf>
    <xf numFmtId="1" fontId="14" fillId="0" borderId="34" xfId="14" applyNumberFormat="1" applyFont="1" applyBorder="1" applyAlignment="1">
      <alignment horizontal="center" wrapText="1"/>
    </xf>
    <xf numFmtId="1" fontId="14" fillId="0" borderId="84" xfId="14" applyNumberFormat="1" applyFont="1" applyBorder="1" applyAlignment="1">
      <alignment horizontal="center" wrapText="1"/>
    </xf>
    <xf numFmtId="2" fontId="26" fillId="0" borderId="87" xfId="14" applyNumberFormat="1" applyFont="1" applyBorder="1" applyAlignment="1">
      <alignment horizontal="center" wrapText="1"/>
    </xf>
    <xf numFmtId="0" fontId="26" fillId="0" borderId="88" xfId="14" applyFont="1" applyBorder="1" applyAlignment="1">
      <alignment horizontal="center" wrapText="1"/>
    </xf>
    <xf numFmtId="2" fontId="15" fillId="0" borderId="80" xfId="14" applyNumberFormat="1" applyFont="1" applyBorder="1" applyAlignment="1">
      <alignment horizontal="left" wrapText="1"/>
    </xf>
    <xf numFmtId="2" fontId="15" fillId="0" borderId="80" xfId="14" applyNumberFormat="1" applyFont="1" applyBorder="1" applyAlignment="1">
      <alignment horizontal="center"/>
    </xf>
    <xf numFmtId="2" fontId="15" fillId="0" borderId="89" xfId="14" applyNumberFormat="1" applyFont="1" applyBorder="1" applyAlignment="1">
      <alignment horizontal="left" wrapText="1"/>
    </xf>
    <xf numFmtId="2" fontId="15" fillId="0" borderId="90" xfId="14" applyNumberFormat="1" applyFont="1" applyBorder="1" applyAlignment="1">
      <alignment horizontal="left" wrapText="1"/>
    </xf>
    <xf numFmtId="0" fontId="3" fillId="0" borderId="0" xfId="18" applyFont="1"/>
    <xf numFmtId="0" fontId="16" fillId="0" borderId="0" xfId="18" applyFont="1"/>
    <xf numFmtId="0" fontId="3" fillId="0" borderId="0" xfId="18" applyFont="1" applyFill="1"/>
    <xf numFmtId="0" fontId="3" fillId="0" borderId="0" xfId="18" applyFill="1"/>
    <xf numFmtId="0" fontId="2" fillId="0" borderId="0" xfId="0" applyFont="1"/>
    <xf numFmtId="1" fontId="14" fillId="0" borderId="80" xfId="14" applyNumberFormat="1" applyFont="1" applyBorder="1" applyAlignment="1">
      <alignment horizontal="center" wrapText="1"/>
    </xf>
    <xf numFmtId="0" fontId="16" fillId="0" borderId="0" xfId="16" applyFont="1"/>
    <xf numFmtId="3" fontId="22" fillId="0" borderId="91" xfId="19" applyNumberFormat="1" applyFont="1" applyBorder="1"/>
    <xf numFmtId="3" fontId="22" fillId="0" borderId="92" xfId="19" applyNumberFormat="1" applyFont="1" applyBorder="1"/>
    <xf numFmtId="3" fontId="22" fillId="0" borderId="80" xfId="19" applyNumberFormat="1" applyFont="1" applyBorder="1"/>
    <xf numFmtId="3" fontId="22" fillId="0" borderId="90" xfId="19" applyNumberFormat="1" applyFont="1" applyBorder="1"/>
    <xf numFmtId="3" fontId="22" fillId="0" borderId="93" xfId="19" applyNumberFormat="1" applyFont="1" applyBorder="1"/>
    <xf numFmtId="3" fontId="22" fillId="0" borderId="94" xfId="19" applyNumberFormat="1" applyFont="1" applyBorder="1"/>
    <xf numFmtId="3" fontId="22" fillId="0" borderId="95" xfId="19" applyNumberFormat="1" applyFont="1" applyBorder="1"/>
    <xf numFmtId="3" fontId="22" fillId="0" borderId="96" xfId="19" applyNumberFormat="1" applyFont="1" applyBorder="1"/>
    <xf numFmtId="0" fontId="15" fillId="0" borderId="0" xfId="0" applyFont="1" applyBorder="1" applyAlignment="1">
      <alignment vertical="center" wrapText="1"/>
    </xf>
    <xf numFmtId="0" fontId="19" fillId="0" borderId="0" xfId="0" applyFont="1" applyFill="1" applyBorder="1" applyAlignment="1"/>
    <xf numFmtId="0" fontId="3" fillId="0" borderId="0" xfId="0" applyFont="1" applyFill="1" applyBorder="1"/>
    <xf numFmtId="0" fontId="11" fillId="5" borderId="13" xfId="0" applyFont="1" applyFill="1" applyBorder="1" applyAlignment="1">
      <alignment horizontal="center"/>
    </xf>
    <xf numFmtId="0" fontId="11" fillId="4" borderId="13" xfId="0" applyFont="1" applyFill="1" applyBorder="1" applyAlignment="1">
      <alignment horizontal="center"/>
    </xf>
    <xf numFmtId="0" fontId="11" fillId="5" borderId="72" xfId="0" applyFont="1" applyFill="1" applyBorder="1" applyAlignment="1">
      <alignment horizontal="center"/>
    </xf>
    <xf numFmtId="0" fontId="11" fillId="4" borderId="97" xfId="0" applyFont="1" applyFill="1" applyBorder="1" applyAlignment="1">
      <alignment horizontal="center"/>
    </xf>
    <xf numFmtId="0" fontId="8" fillId="0" borderId="98" xfId="0" applyFont="1" applyFill="1" applyBorder="1" applyAlignment="1">
      <alignment horizontal="centerContinuous"/>
    </xf>
    <xf numFmtId="0" fontId="15" fillId="0" borderId="16" xfId="0" applyFont="1" applyBorder="1"/>
    <xf numFmtId="0" fontId="29" fillId="0" borderId="81" xfId="0" applyFont="1" applyBorder="1" applyAlignment="1">
      <alignment horizontal="center"/>
    </xf>
    <xf numFmtId="0" fontId="29" fillId="0" borderId="16" xfId="0" applyFont="1" applyBorder="1" applyAlignment="1">
      <alignment horizontal="centerContinuous"/>
    </xf>
    <xf numFmtId="0" fontId="8" fillId="2" borderId="27" xfId="0" applyFont="1" applyFill="1" applyBorder="1" applyAlignment="1">
      <alignment horizontal="left"/>
    </xf>
    <xf numFmtId="0" fontId="31" fillId="2" borderId="0" xfId="0" applyFont="1" applyFill="1" applyBorder="1" applyAlignment="1">
      <alignment horizontal="left"/>
    </xf>
    <xf numFmtId="0" fontId="15" fillId="0" borderId="81" xfId="0" applyFont="1" applyBorder="1" applyAlignment="1">
      <alignment vertical="center" wrapText="1"/>
    </xf>
    <xf numFmtId="0" fontId="15" fillId="0" borderId="16" xfId="0" applyFont="1" applyBorder="1" applyAlignment="1">
      <alignment vertical="center" wrapText="1"/>
    </xf>
    <xf numFmtId="0" fontId="15" fillId="0" borderId="72" xfId="0" applyFont="1" applyBorder="1" applyAlignment="1">
      <alignment vertical="center" wrapText="1"/>
    </xf>
    <xf numFmtId="0" fontId="32" fillId="0" borderId="99" xfId="0" applyFont="1" applyBorder="1"/>
    <xf numFmtId="0" fontId="32" fillId="0" borderId="15" xfId="0" applyFont="1" applyBorder="1"/>
    <xf numFmtId="0" fontId="30" fillId="0" borderId="0" xfId="0" applyFont="1" applyBorder="1"/>
    <xf numFmtId="0" fontId="8" fillId="0" borderId="100" xfId="0" applyFont="1" applyBorder="1" applyAlignment="1">
      <alignment horizontal="center"/>
    </xf>
    <xf numFmtId="0" fontId="11" fillId="0" borderId="101" xfId="0" applyFont="1" applyBorder="1" applyAlignment="1">
      <alignment horizontal="center"/>
    </xf>
    <xf numFmtId="0" fontId="11" fillId="0" borderId="11" xfId="0" applyFont="1" applyBorder="1" applyAlignment="1">
      <alignment horizontal="center"/>
    </xf>
    <xf numFmtId="0" fontId="11" fillId="0" borderId="30" xfId="0" applyFont="1" applyBorder="1" applyAlignment="1">
      <alignment horizontal="center"/>
    </xf>
    <xf numFmtId="0" fontId="11" fillId="0" borderId="72" xfId="0" applyFont="1" applyFill="1" applyBorder="1" applyAlignment="1">
      <alignment horizontal="center"/>
    </xf>
    <xf numFmtId="0" fontId="8" fillId="0" borderId="102" xfId="0" applyFont="1" applyFill="1" applyBorder="1" applyAlignment="1">
      <alignment horizontal="centerContinuous"/>
    </xf>
    <xf numFmtId="0" fontId="33" fillId="0" borderId="15" xfId="0" applyFont="1" applyBorder="1"/>
    <xf numFmtId="167" fontId="33" fillId="0" borderId="15" xfId="0" applyNumberFormat="1" applyFont="1" applyBorder="1"/>
    <xf numFmtId="2" fontId="37" fillId="0" borderId="15" xfId="0" applyNumberFormat="1" applyFont="1" applyBorder="1" applyAlignment="1">
      <alignment horizontal="right"/>
    </xf>
    <xf numFmtId="0" fontId="37" fillId="0" borderId="15" xfId="0" applyFont="1" applyBorder="1" applyAlignment="1">
      <alignment horizontal="right"/>
    </xf>
    <xf numFmtId="2" fontId="38" fillId="0" borderId="15" xfId="0" applyNumberFormat="1" applyFont="1" applyBorder="1" applyAlignment="1">
      <alignment horizontal="right"/>
    </xf>
    <xf numFmtId="0" fontId="38" fillId="0" borderId="15" xfId="0" applyFont="1" applyBorder="1" applyAlignment="1">
      <alignment horizontal="right"/>
    </xf>
    <xf numFmtId="0" fontId="37" fillId="0" borderId="15" xfId="0" applyFont="1" applyBorder="1"/>
    <xf numFmtId="0" fontId="38" fillId="0" borderId="15" xfId="0" applyFont="1" applyBorder="1"/>
    <xf numFmtId="0" fontId="9" fillId="0" borderId="87" xfId="0" applyFont="1" applyBorder="1"/>
    <xf numFmtId="0" fontId="9" fillId="2" borderId="11" xfId="0" applyFont="1" applyFill="1" applyBorder="1"/>
    <xf numFmtId="0" fontId="3" fillId="0" borderId="21" xfId="0" applyFont="1" applyBorder="1"/>
    <xf numFmtId="0" fontId="9" fillId="2" borderId="27" xfId="0" applyFont="1" applyFill="1" applyBorder="1" applyAlignment="1">
      <alignment horizontal="center"/>
    </xf>
    <xf numFmtId="0" fontId="3" fillId="0" borderId="41" xfId="16" applyBorder="1"/>
    <xf numFmtId="0" fontId="6" fillId="0" borderId="13" xfId="0" applyFont="1" applyBorder="1" applyAlignment="1">
      <alignment horizontal="center"/>
    </xf>
    <xf numFmtId="0" fontId="11" fillId="2" borderId="74" xfId="0" applyFont="1" applyFill="1" applyBorder="1"/>
    <xf numFmtId="0" fontId="3" fillId="0" borderId="30" xfId="16" applyBorder="1"/>
    <xf numFmtId="0" fontId="6" fillId="0" borderId="72" xfId="0" applyFont="1" applyBorder="1" applyAlignment="1">
      <alignment horizontal="center"/>
    </xf>
    <xf numFmtId="0" fontId="11" fillId="2" borderId="16" xfId="0" applyFont="1" applyFill="1" applyBorder="1"/>
    <xf numFmtId="0" fontId="9" fillId="0" borderId="19" xfId="0" applyFont="1" applyBorder="1"/>
    <xf numFmtId="0" fontId="29" fillId="0" borderId="11" xfId="0" applyFont="1" applyBorder="1" applyAlignment="1">
      <alignment horizontal="centerContinuous"/>
    </xf>
    <xf numFmtId="0" fontId="11" fillId="2" borderId="30" xfId="0" applyFont="1" applyFill="1" applyBorder="1" applyAlignment="1">
      <alignment horizontal="center"/>
    </xf>
    <xf numFmtId="0" fontId="11" fillId="2" borderId="81" xfId="0" applyFont="1" applyFill="1" applyBorder="1" applyAlignment="1">
      <alignment horizontal="center"/>
    </xf>
    <xf numFmtId="0" fontId="6" fillId="0" borderId="11" xfId="0" applyFont="1" applyBorder="1"/>
    <xf numFmtId="166" fontId="32" fillId="0" borderId="99" xfId="0" applyNumberFormat="1" applyFont="1" applyBorder="1"/>
    <xf numFmtId="0" fontId="11" fillId="4" borderId="11" xfId="0" applyFont="1" applyFill="1" applyBorder="1" applyAlignment="1">
      <alignment horizontal="center"/>
    </xf>
    <xf numFmtId="0" fontId="11" fillId="4" borderId="72" xfId="0" applyFont="1" applyFill="1" applyBorder="1" applyAlignment="1">
      <alignment horizontal="center"/>
    </xf>
    <xf numFmtId="0" fontId="11" fillId="5" borderId="103" xfId="0" applyFont="1" applyFill="1" applyBorder="1" applyAlignment="1">
      <alignment horizontal="centerContinuous"/>
    </xf>
    <xf numFmtId="0" fontId="19" fillId="0" borderId="21" xfId="0" applyFont="1" applyBorder="1" applyAlignment="1">
      <alignment horizontal="center"/>
    </xf>
    <xf numFmtId="0" fontId="7" fillId="0" borderId="104" xfId="0" applyFont="1" applyBorder="1"/>
    <xf numFmtId="3" fontId="17" fillId="0" borderId="105" xfId="19" applyNumberFormat="1" applyFont="1" applyBorder="1" applyAlignment="1">
      <alignment horizontal="center"/>
    </xf>
    <xf numFmtId="166" fontId="32" fillId="0" borderId="106" xfId="0" applyNumberFormat="1" applyFont="1" applyBorder="1"/>
    <xf numFmtId="0" fontId="6" fillId="2" borderId="26" xfId="0" applyFont="1" applyFill="1" applyBorder="1"/>
    <xf numFmtId="0" fontId="8" fillId="2" borderId="27" xfId="0" applyFont="1" applyFill="1" applyBorder="1" applyAlignment="1">
      <alignment horizontal="centerContinuous"/>
    </xf>
    <xf numFmtId="0" fontId="6" fillId="0" borderId="24" xfId="0" applyFont="1" applyBorder="1"/>
    <xf numFmtId="0" fontId="8" fillId="0" borderId="27" xfId="0" applyFont="1" applyBorder="1"/>
    <xf numFmtId="0" fontId="9" fillId="2" borderId="27" xfId="0" applyFont="1" applyFill="1" applyBorder="1" applyAlignment="1">
      <alignment horizontal="centerContinuous"/>
    </xf>
    <xf numFmtId="167" fontId="32" fillId="0" borderId="107" xfId="0" applyNumberFormat="1" applyFont="1" applyBorder="1"/>
    <xf numFmtId="0" fontId="32" fillId="0" borderId="31" xfId="0" applyFont="1" applyBorder="1"/>
    <xf numFmtId="167" fontId="27" fillId="0" borderId="107" xfId="0" applyNumberFormat="1" applyFont="1" applyBorder="1"/>
    <xf numFmtId="0" fontId="36" fillId="0" borderId="31" xfId="0" applyFont="1" applyBorder="1"/>
    <xf numFmtId="2" fontId="32" fillId="0" borderId="107" xfId="0" applyNumberFormat="1" applyFont="1" applyBorder="1"/>
    <xf numFmtId="0" fontId="9" fillId="0" borderId="10" xfId="0" applyFont="1" applyBorder="1"/>
    <xf numFmtId="0" fontId="9" fillId="0" borderId="81" xfId="0" applyFont="1" applyBorder="1"/>
    <xf numFmtId="0" fontId="19" fillId="0" borderId="108" xfId="0" applyFont="1" applyBorder="1" applyAlignment="1">
      <alignment horizontal="center"/>
    </xf>
    <xf numFmtId="0" fontId="11" fillId="0" borderId="13" xfId="0" applyFont="1" applyBorder="1" applyAlignment="1">
      <alignment horizontal="center"/>
    </xf>
    <xf numFmtId="0" fontId="11" fillId="2" borderId="109" xfId="0" applyFont="1" applyFill="1" applyBorder="1" applyAlignment="1">
      <alignment horizontal="center"/>
    </xf>
    <xf numFmtId="0" fontId="11" fillId="0" borderId="97" xfId="0" applyFont="1" applyBorder="1" applyAlignment="1">
      <alignment horizontal="center"/>
    </xf>
    <xf numFmtId="0" fontId="11" fillId="2" borderId="103" xfId="0" applyFont="1" applyFill="1" applyBorder="1" applyAlignment="1">
      <alignment horizontal="center"/>
    </xf>
    <xf numFmtId="0" fontId="32" fillId="0" borderId="110" xfId="0" applyFont="1" applyBorder="1"/>
    <xf numFmtId="167" fontId="27" fillId="0" borderId="31" xfId="0" applyNumberFormat="1" applyFont="1" applyBorder="1"/>
    <xf numFmtId="0" fontId="8" fillId="0" borderId="111" xfId="0" applyFont="1" applyBorder="1" applyAlignment="1">
      <alignment horizontal="center"/>
    </xf>
    <xf numFmtId="0" fontId="32" fillId="0" borderId="112" xfId="0" applyFont="1" applyBorder="1" applyAlignment="1">
      <alignment horizontal="center"/>
    </xf>
    <xf numFmtId="0" fontId="32" fillId="0" borderId="15" xfId="0" applyFont="1" applyBorder="1" applyAlignment="1">
      <alignment horizontal="center"/>
    </xf>
    <xf numFmtId="0" fontId="32" fillId="0" borderId="14" xfId="0" applyFont="1" applyBorder="1" applyAlignment="1">
      <alignment horizontal="center"/>
    </xf>
    <xf numFmtId="0" fontId="2" fillId="0" borderId="0" xfId="17" applyFont="1"/>
    <xf numFmtId="3" fontId="17" fillId="6" borderId="38" xfId="19" applyNumberFormat="1" applyFont="1" applyFill="1" applyBorder="1"/>
    <xf numFmtId="3" fontId="17" fillId="6" borderId="39" xfId="19" applyNumberFormat="1" applyFont="1" applyFill="1" applyBorder="1"/>
    <xf numFmtId="3" fontId="17" fillId="6" borderId="40" xfId="19" applyNumberFormat="1" applyFont="1" applyFill="1" applyBorder="1"/>
    <xf numFmtId="3" fontId="17" fillId="6" borderId="62" xfId="19" applyNumberFormat="1" applyFont="1" applyFill="1" applyBorder="1"/>
    <xf numFmtId="3" fontId="17" fillId="6" borderId="65" xfId="19" applyNumberFormat="1" applyFont="1" applyFill="1" applyBorder="1"/>
    <xf numFmtId="3" fontId="17" fillId="6" borderId="54" xfId="19" applyNumberFormat="1" applyFont="1" applyFill="1" applyBorder="1"/>
    <xf numFmtId="0" fontId="15" fillId="12" borderId="0" xfId="0" applyNumberFormat="1" applyFont="1" applyFill="1" applyBorder="1" applyAlignment="1">
      <alignment horizontal="center"/>
    </xf>
    <xf numFmtId="0" fontId="17" fillId="12" borderId="0" xfId="0" applyNumberFormat="1" applyFont="1" applyFill="1" applyBorder="1" applyAlignment="1">
      <alignment horizontal="center"/>
    </xf>
    <xf numFmtId="0" fontId="17" fillId="12" borderId="0" xfId="0" applyNumberFormat="1" applyFont="1" applyFill="1" applyBorder="1" applyAlignment="1">
      <alignment horizontal="right"/>
    </xf>
    <xf numFmtId="0" fontId="43" fillId="12" borderId="0" xfId="0" applyNumberFormat="1" applyFont="1" applyFill="1" applyBorder="1" applyAlignment="1">
      <alignment horizontal="right"/>
    </xf>
    <xf numFmtId="0" fontId="42" fillId="12" borderId="0" xfId="0" applyNumberFormat="1" applyFont="1" applyFill="1" applyBorder="1" applyAlignment="1">
      <alignment horizontal="right"/>
    </xf>
    <xf numFmtId="0" fontId="44" fillId="12" borderId="0" xfId="0" applyNumberFormat="1" applyFont="1" applyFill="1" applyBorder="1" applyAlignment="1">
      <alignment horizontal="right"/>
    </xf>
    <xf numFmtId="0" fontId="15" fillId="7" borderId="0" xfId="0" applyNumberFormat="1" applyFont="1" applyFill="1" applyBorder="1" applyAlignment="1">
      <alignment horizontal="center"/>
    </xf>
    <xf numFmtId="0" fontId="17" fillId="7" borderId="0" xfId="0" applyNumberFormat="1" applyFont="1" applyFill="1" applyBorder="1" applyAlignment="1">
      <alignment horizontal="center"/>
    </xf>
    <xf numFmtId="0" fontId="15" fillId="12" borderId="0" xfId="0" applyNumberFormat="1" applyFont="1" applyFill="1" applyBorder="1"/>
    <xf numFmtId="0" fontId="15" fillId="12" borderId="0" xfId="0" applyNumberFormat="1" applyFont="1" applyFill="1" applyBorder="1" applyAlignment="1">
      <alignment horizontal="center" wrapText="1"/>
    </xf>
    <xf numFmtId="0" fontId="15" fillId="12" borderId="0" xfId="0" applyNumberFormat="1" applyFont="1" applyFill="1" applyBorder="1" applyAlignment="1">
      <alignment horizontal="right"/>
    </xf>
    <xf numFmtId="0" fontId="45" fillId="12" borderId="0" xfId="1" applyNumberFormat="1" applyFont="1" applyFill="1" applyBorder="1" applyAlignment="1">
      <alignment horizontal="right"/>
    </xf>
    <xf numFmtId="0" fontId="15" fillId="12" borderId="0" xfId="1" applyNumberFormat="1" applyFont="1" applyFill="1" applyBorder="1" applyAlignment="1">
      <alignment horizontal="right"/>
    </xf>
    <xf numFmtId="0" fontId="46" fillId="12" borderId="0" xfId="0" applyNumberFormat="1" applyFont="1" applyFill="1" applyBorder="1" applyAlignment="1">
      <alignment horizontal="right"/>
    </xf>
    <xf numFmtId="0" fontId="45" fillId="12" borderId="0" xfId="0" applyNumberFormat="1" applyFont="1" applyFill="1" applyBorder="1" applyAlignment="1">
      <alignment horizontal="right"/>
    </xf>
    <xf numFmtId="0" fontId="15" fillId="7" borderId="0" xfId="0" applyNumberFormat="1" applyFont="1" applyFill="1" applyBorder="1"/>
    <xf numFmtId="0" fontId="15" fillId="7" borderId="0" xfId="0" applyNumberFormat="1" applyFont="1" applyFill="1" applyBorder="1" applyAlignment="1">
      <alignment wrapText="1"/>
    </xf>
    <xf numFmtId="0" fontId="15" fillId="7" borderId="0" xfId="0" applyNumberFormat="1" applyFont="1" applyFill="1" applyBorder="1" applyAlignment="1">
      <alignment horizontal="right" wrapText="1"/>
    </xf>
    <xf numFmtId="0" fontId="47" fillId="7" borderId="0" xfId="0" applyNumberFormat="1" applyFont="1" applyFill="1" applyBorder="1" applyAlignment="1">
      <alignment horizontal="right" wrapText="1"/>
    </xf>
    <xf numFmtId="0" fontId="45" fillId="7" borderId="0" xfId="0" applyNumberFormat="1" applyFont="1" applyFill="1" applyBorder="1" applyAlignment="1">
      <alignment horizontal="right" wrapText="1"/>
    </xf>
    <xf numFmtId="0" fontId="44" fillId="7" borderId="0" xfId="0" applyNumberFormat="1" applyFont="1" applyFill="1" applyBorder="1" applyAlignment="1">
      <alignment horizontal="right" wrapText="1"/>
    </xf>
    <xf numFmtId="0" fontId="42" fillId="7" borderId="0" xfId="0" applyNumberFormat="1" applyFont="1" applyFill="1" applyBorder="1" applyAlignment="1">
      <alignment horizontal="right" wrapText="1"/>
    </xf>
    <xf numFmtId="0" fontId="17" fillId="7" borderId="0" xfId="0" applyNumberFormat="1" applyFont="1" applyFill="1" applyBorder="1" applyAlignment="1">
      <alignment horizontal="right" wrapText="1"/>
    </xf>
    <xf numFmtId="0" fontId="17" fillId="7" borderId="0" xfId="0" applyNumberFormat="1" applyFont="1" applyFill="1" applyBorder="1" applyAlignment="1">
      <alignment wrapText="1"/>
    </xf>
    <xf numFmtId="0" fontId="15" fillId="0" borderId="114" xfId="0" applyNumberFormat="1" applyFont="1" applyBorder="1"/>
    <xf numFmtId="0" fontId="15" fillId="0" borderId="99" xfId="0" applyNumberFormat="1" applyFont="1" applyBorder="1"/>
    <xf numFmtId="0" fontId="17" fillId="0" borderId="88" xfId="0" applyNumberFormat="1" applyFont="1" applyFill="1" applyBorder="1" applyAlignment="1">
      <alignment horizontal="right" wrapText="1"/>
    </xf>
    <xf numFmtId="0" fontId="45" fillId="7" borderId="0" xfId="1" applyNumberFormat="1" applyFont="1" applyFill="1" applyBorder="1" applyAlignment="1">
      <alignment horizontal="right" wrapText="1"/>
    </xf>
    <xf numFmtId="0" fontId="17" fillId="0" borderId="99" xfId="0" applyNumberFormat="1" applyFont="1" applyFill="1" applyBorder="1" applyAlignment="1">
      <alignment horizontal="right" wrapText="1"/>
    </xf>
    <xf numFmtId="0" fontId="17" fillId="0" borderId="15" xfId="0" applyNumberFormat="1" applyFont="1" applyFill="1" applyBorder="1" applyAlignment="1">
      <alignment horizontal="right" wrapText="1"/>
    </xf>
    <xf numFmtId="0" fontId="17" fillId="0" borderId="88" xfId="0" applyNumberFormat="1" applyFont="1" applyFill="1" applyBorder="1" applyAlignment="1">
      <alignment horizontal="center" wrapText="1"/>
    </xf>
    <xf numFmtId="0" fontId="15" fillId="0" borderId="15" xfId="0" applyNumberFormat="1" applyFont="1" applyBorder="1"/>
    <xf numFmtId="0" fontId="15" fillId="0" borderId="99" xfId="1" applyNumberFormat="1" applyFont="1" applyFill="1" applyBorder="1" applyAlignment="1">
      <alignment wrapText="1"/>
    </xf>
    <xf numFmtId="0" fontId="48" fillId="6" borderId="88" xfId="1" applyNumberFormat="1" applyFont="1" applyFill="1" applyBorder="1" applyAlignment="1">
      <alignment horizontal="right"/>
    </xf>
    <xf numFmtId="0" fontId="45" fillId="7" borderId="0" xfId="1" applyNumberFormat="1" applyFont="1" applyFill="1" applyBorder="1" applyAlignment="1">
      <alignment horizontal="right"/>
    </xf>
    <xf numFmtId="0" fontId="15" fillId="0" borderId="15" xfId="0" applyNumberFormat="1" applyFont="1" applyBorder="1" applyAlignment="1">
      <alignment horizontal="right"/>
    </xf>
    <xf numFmtId="0" fontId="15" fillId="0" borderId="88" xfId="0" applyNumberFormat="1" applyFont="1" applyBorder="1"/>
    <xf numFmtId="0" fontId="48" fillId="13" borderId="88" xfId="1" applyNumberFormat="1" applyFont="1" applyFill="1" applyBorder="1" applyAlignment="1">
      <alignment horizontal="right"/>
    </xf>
    <xf numFmtId="0" fontId="15" fillId="0" borderId="99" xfId="1" applyNumberFormat="1" applyFont="1" applyFill="1" applyBorder="1" applyAlignment="1">
      <alignment horizontal="right" wrapText="1"/>
    </xf>
    <xf numFmtId="0" fontId="17" fillId="6" borderId="15" xfId="1" applyNumberFormat="1" applyFont="1" applyFill="1" applyBorder="1" applyAlignment="1">
      <alignment horizontal="right"/>
    </xf>
    <xf numFmtId="0" fontId="44" fillId="6" borderId="15" xfId="21" applyNumberFormat="1" applyFont="1" applyFill="1" applyBorder="1" applyAlignment="1">
      <alignment horizontal="right"/>
    </xf>
    <xf numFmtId="0" fontId="42" fillId="6" borderId="15" xfId="1" applyNumberFormat="1" applyFont="1" applyFill="1" applyBorder="1" applyAlignment="1">
      <alignment horizontal="right"/>
    </xf>
    <xf numFmtId="0" fontId="42" fillId="6" borderId="88" xfId="1" applyNumberFormat="1" applyFont="1" applyFill="1" applyBorder="1" applyAlignment="1">
      <alignment horizontal="center"/>
    </xf>
    <xf numFmtId="0" fontId="48" fillId="13" borderId="88" xfId="21" applyNumberFormat="1" applyFont="1" applyFill="1" applyBorder="1" applyAlignment="1" applyProtection="1">
      <alignment horizontal="right"/>
      <protection locked="0"/>
    </xf>
    <xf numFmtId="0" fontId="15" fillId="0" borderId="106" xfId="1" applyNumberFormat="1" applyFont="1" applyFill="1" applyBorder="1" applyAlignment="1">
      <alignment wrapText="1"/>
    </xf>
    <xf numFmtId="0" fontId="48" fillId="6" borderId="115" xfId="21" applyNumberFormat="1" applyFont="1" applyFill="1" applyBorder="1" applyAlignment="1" applyProtection="1">
      <alignment horizontal="right"/>
      <protection locked="0"/>
    </xf>
    <xf numFmtId="0" fontId="15" fillId="7" borderId="0" xfId="0" applyNumberFormat="1" applyFont="1" applyFill="1" applyBorder="1" applyAlignment="1">
      <alignment horizontal="right"/>
    </xf>
    <xf numFmtId="0" fontId="44" fillId="6" borderId="15" xfId="1" applyNumberFormat="1" applyFont="1" applyFill="1" applyBorder="1" applyAlignment="1">
      <alignment horizontal="right"/>
    </xf>
    <xf numFmtId="0" fontId="48" fillId="6" borderId="15" xfId="1" applyNumberFormat="1" applyFont="1" applyFill="1" applyBorder="1" applyAlignment="1">
      <alignment horizontal="right"/>
    </xf>
    <xf numFmtId="0" fontId="48" fillId="7" borderId="0" xfId="0" applyNumberFormat="1" applyFont="1" applyFill="1" applyBorder="1" applyAlignment="1">
      <alignment horizontal="right" wrapText="1"/>
    </xf>
    <xf numFmtId="0" fontId="43" fillId="7" borderId="0" xfId="0" applyNumberFormat="1" applyFont="1" applyFill="1" applyBorder="1" applyAlignment="1">
      <alignment horizontal="right" wrapText="1"/>
    </xf>
    <xf numFmtId="0" fontId="17" fillId="0" borderId="99" xfId="1" applyNumberFormat="1" applyFont="1" applyFill="1" applyBorder="1" applyAlignment="1">
      <alignment horizontal="right"/>
    </xf>
    <xf numFmtId="0" fontId="15" fillId="6" borderId="15" xfId="1" applyNumberFormat="1" applyFont="1" applyFill="1" applyBorder="1" applyAlignment="1">
      <alignment horizontal="right"/>
    </xf>
    <xf numFmtId="0" fontId="17" fillId="15" borderId="99" xfId="1" applyNumberFormat="1" applyFont="1" applyFill="1" applyBorder="1" applyAlignment="1">
      <alignment horizontal="right" wrapText="1"/>
    </xf>
    <xf numFmtId="0" fontId="15" fillId="15" borderId="15" xfId="1" applyNumberFormat="1" applyFont="1" applyFill="1" applyBorder="1" applyAlignment="1">
      <alignment horizontal="right"/>
    </xf>
    <xf numFmtId="0" fontId="15" fillId="0" borderId="106" xfId="0" applyNumberFormat="1" applyFont="1" applyBorder="1" applyAlignment="1">
      <alignment horizontal="right"/>
    </xf>
    <xf numFmtId="0" fontId="46" fillId="0" borderId="116" xfId="0" applyNumberFormat="1" applyFont="1" applyBorder="1" applyAlignment="1">
      <alignment horizontal="right"/>
    </xf>
    <xf numFmtId="0" fontId="45" fillId="0" borderId="116" xfId="0" applyNumberFormat="1" applyFont="1" applyBorder="1" applyAlignment="1">
      <alignment horizontal="right"/>
    </xf>
    <xf numFmtId="0" fontId="15" fillId="0" borderId="116" xfId="0" applyNumberFormat="1" applyFont="1" applyBorder="1" applyAlignment="1">
      <alignment horizontal="right"/>
    </xf>
    <xf numFmtId="0" fontId="15" fillId="0" borderId="115" xfId="0" applyNumberFormat="1" applyFont="1" applyBorder="1"/>
    <xf numFmtId="0" fontId="47" fillId="7" borderId="0" xfId="0" applyNumberFormat="1" applyFont="1" applyFill="1" applyBorder="1" applyAlignment="1">
      <alignment horizontal="right"/>
    </xf>
    <xf numFmtId="0" fontId="48" fillId="7" borderId="0" xfId="0" applyNumberFormat="1" applyFont="1" applyFill="1" applyBorder="1" applyAlignment="1">
      <alignment horizontal="center" wrapText="1"/>
    </xf>
    <xf numFmtId="0" fontId="17" fillId="0" borderId="0" xfId="0" applyNumberFormat="1" applyFont="1" applyBorder="1" applyAlignment="1">
      <alignment horizontal="center"/>
    </xf>
    <xf numFmtId="0" fontId="15" fillId="0" borderId="15" xfId="0" applyNumberFormat="1" applyFont="1" applyBorder="1" applyAlignment="1">
      <alignment horizontal="center" wrapText="1"/>
    </xf>
    <xf numFmtId="0" fontId="17" fillId="0" borderId="15" xfId="0" applyNumberFormat="1" applyFont="1" applyBorder="1" applyAlignment="1">
      <alignment horizontal="right"/>
    </xf>
    <xf numFmtId="0" fontId="43" fillId="0" borderId="15" xfId="0" applyNumberFormat="1" applyFont="1" applyBorder="1" applyAlignment="1">
      <alignment horizontal="right"/>
    </xf>
    <xf numFmtId="0" fontId="45" fillId="0" borderId="15" xfId="1" applyNumberFormat="1" applyFont="1" applyBorder="1" applyAlignment="1">
      <alignment horizontal="right"/>
    </xf>
    <xf numFmtId="0" fontId="15" fillId="0" borderId="15" xfId="1" applyNumberFormat="1" applyFont="1" applyBorder="1" applyAlignment="1">
      <alignment horizontal="right"/>
    </xf>
    <xf numFmtId="0" fontId="46" fillId="0" borderId="15" xfId="0" applyNumberFormat="1" applyFont="1" applyBorder="1" applyAlignment="1">
      <alignment horizontal="right"/>
    </xf>
    <xf numFmtId="0" fontId="45" fillId="0" borderId="15" xfId="0" applyNumberFormat="1" applyFont="1" applyBorder="1" applyAlignment="1">
      <alignment horizontal="right"/>
    </xf>
    <xf numFmtId="0" fontId="17" fillId="8" borderId="99" xfId="0" applyNumberFormat="1" applyFont="1" applyFill="1" applyBorder="1" applyAlignment="1">
      <alignment horizontal="center"/>
    </xf>
    <xf numFmtId="0" fontId="17" fillId="8" borderId="15" xfId="1" applyNumberFormat="1" applyFont="1" applyFill="1" applyBorder="1" applyAlignment="1">
      <alignment horizontal="center" wrapText="1"/>
    </xf>
    <xf numFmtId="0" fontId="23" fillId="8" borderId="15" xfId="1" applyNumberFormat="1" applyFont="1" applyFill="1" applyBorder="1" applyAlignment="1">
      <alignment horizontal="right" wrapText="1"/>
    </xf>
    <xf numFmtId="0" fontId="52" fillId="8" borderId="15" xfId="1" applyNumberFormat="1" applyFont="1" applyFill="1" applyBorder="1" applyAlignment="1">
      <alignment horizontal="right" wrapText="1"/>
    </xf>
    <xf numFmtId="0" fontId="53" fillId="8" borderId="15" xfId="1" applyNumberFormat="1" applyFont="1" applyFill="1" applyBorder="1" applyAlignment="1">
      <alignment horizontal="right" wrapText="1"/>
    </xf>
    <xf numFmtId="0" fontId="54" fillId="8" borderId="15" xfId="1" applyNumberFormat="1" applyFont="1" applyFill="1" applyBorder="1" applyAlignment="1">
      <alignment horizontal="right" wrapText="1"/>
    </xf>
    <xf numFmtId="0" fontId="54" fillId="8" borderId="31" xfId="1" applyNumberFormat="1" applyFont="1" applyFill="1" applyBorder="1" applyAlignment="1">
      <alignment horizontal="right" wrapText="1"/>
    </xf>
    <xf numFmtId="0" fontId="53" fillId="8" borderId="31" xfId="1" applyNumberFormat="1" applyFont="1" applyFill="1" applyBorder="1" applyAlignment="1">
      <alignment horizontal="right" wrapText="1"/>
    </xf>
    <xf numFmtId="0" fontId="23" fillId="8" borderId="88" xfId="1" applyNumberFormat="1" applyFont="1" applyFill="1" applyBorder="1" applyAlignment="1">
      <alignment horizontal="center" wrapText="1"/>
    </xf>
    <xf numFmtId="0" fontId="48" fillId="8" borderId="31" xfId="1" applyNumberFormat="1" applyFont="1" applyFill="1" applyBorder="1" applyAlignment="1">
      <alignment horizontal="right" wrapText="1"/>
    </xf>
    <xf numFmtId="0" fontId="42" fillId="8" borderId="31" xfId="1" applyNumberFormat="1" applyFont="1" applyFill="1" applyBorder="1" applyAlignment="1">
      <alignment horizontal="right" wrapText="1"/>
    </xf>
    <xf numFmtId="0" fontId="23" fillId="8" borderId="88" xfId="1" applyNumberFormat="1" applyFont="1" applyFill="1" applyBorder="1" applyAlignment="1">
      <alignment wrapText="1"/>
    </xf>
    <xf numFmtId="0" fontId="17" fillId="9" borderId="99" xfId="0" applyNumberFormat="1" applyFont="1" applyFill="1" applyBorder="1" applyAlignment="1">
      <alignment horizontal="right"/>
    </xf>
    <xf numFmtId="0" fontId="17" fillId="9" borderId="15" xfId="0" applyNumberFormat="1" applyFont="1" applyFill="1" applyBorder="1" applyAlignment="1">
      <alignment wrapText="1"/>
    </xf>
    <xf numFmtId="0" fontId="17" fillId="9" borderId="15" xfId="0" applyNumberFormat="1" applyFont="1" applyFill="1" applyBorder="1" applyAlignment="1">
      <alignment horizontal="right"/>
    </xf>
    <xf numFmtId="0" fontId="17" fillId="9" borderId="15" xfId="1" applyNumberFormat="1" applyFont="1" applyFill="1" applyBorder="1" applyAlignment="1">
      <alignment horizontal="right" wrapText="1"/>
    </xf>
    <xf numFmtId="0" fontId="43" fillId="9" borderId="15" xfId="1" applyNumberFormat="1" applyFont="1" applyFill="1" applyBorder="1" applyAlignment="1">
      <alignment horizontal="right"/>
    </xf>
    <xf numFmtId="0" fontId="42" fillId="9" borderId="15" xfId="0" applyNumberFormat="1" applyFont="1" applyFill="1" applyBorder="1" applyAlignment="1">
      <alignment horizontal="right" wrapText="1"/>
    </xf>
    <xf numFmtId="0" fontId="17" fillId="9" borderId="15" xfId="0" applyNumberFormat="1" applyFont="1" applyFill="1" applyBorder="1" applyAlignment="1">
      <alignment horizontal="right" wrapText="1"/>
    </xf>
    <xf numFmtId="0" fontId="17" fillId="9" borderId="88" xfId="0" applyNumberFormat="1" applyFont="1" applyFill="1" applyBorder="1" applyAlignment="1">
      <alignment horizontal="right" wrapText="1"/>
    </xf>
    <xf numFmtId="0" fontId="15" fillId="9" borderId="88" xfId="0" applyNumberFormat="1" applyFont="1" applyFill="1" applyBorder="1"/>
    <xf numFmtId="0" fontId="15" fillId="0" borderId="99" xfId="0" applyNumberFormat="1" applyFont="1" applyFill="1" applyBorder="1" applyAlignment="1">
      <alignment horizontal="right"/>
    </xf>
    <xf numFmtId="0" fontId="15" fillId="0" borderId="15" xfId="0" applyNumberFormat="1" applyFont="1" applyFill="1" applyBorder="1" applyAlignment="1">
      <alignment wrapText="1"/>
    </xf>
    <xf numFmtId="0" fontId="17" fillId="0" borderId="15" xfId="0" applyNumberFormat="1" applyFont="1" applyFill="1" applyBorder="1" applyAlignment="1">
      <alignment horizontal="right"/>
    </xf>
    <xf numFmtId="0" fontId="15" fillId="0" borderId="15" xfId="1" applyNumberFormat="1" applyFont="1" applyFill="1" applyBorder="1" applyAlignment="1">
      <alignment horizontal="right"/>
    </xf>
    <xf numFmtId="0" fontId="47" fillId="0" borderId="15" xfId="1" applyNumberFormat="1" applyFont="1" applyFill="1" applyBorder="1" applyAlignment="1">
      <alignment horizontal="right"/>
    </xf>
    <xf numFmtId="0" fontId="45" fillId="0" borderId="15" xfId="1" applyNumberFormat="1" applyFont="1" applyFill="1" applyBorder="1" applyAlignment="1">
      <alignment horizontal="right"/>
    </xf>
    <xf numFmtId="0" fontId="44" fillId="6" borderId="31" xfId="1" applyNumberFormat="1" applyFont="1" applyFill="1" applyBorder="1" applyAlignment="1">
      <alignment horizontal="right"/>
    </xf>
    <xf numFmtId="0" fontId="42" fillId="6" borderId="88" xfId="1" applyNumberFormat="1" applyFont="1" applyFill="1" applyBorder="1" applyAlignment="1">
      <alignment horizontal="right"/>
    </xf>
    <xf numFmtId="0" fontId="42" fillId="6" borderId="31" xfId="1" applyNumberFormat="1" applyFont="1" applyFill="1" applyBorder="1" applyAlignment="1">
      <alignment horizontal="right"/>
    </xf>
    <xf numFmtId="0" fontId="15" fillId="0" borderId="15" xfId="0" applyNumberFormat="1" applyFont="1" applyFill="1" applyBorder="1"/>
    <xf numFmtId="0" fontId="46" fillId="0" borderId="15" xfId="1" applyNumberFormat="1" applyFont="1" applyFill="1" applyBorder="1" applyAlignment="1">
      <alignment horizontal="right"/>
    </xf>
    <xf numFmtId="0" fontId="46" fillId="0" borderId="31" xfId="1" applyNumberFormat="1" applyFont="1" applyFill="1" applyBorder="1" applyAlignment="1">
      <alignment horizontal="right"/>
    </xf>
    <xf numFmtId="0" fontId="42" fillId="0" borderId="88" xfId="1" applyNumberFormat="1" applyFont="1" applyFill="1" applyBorder="1" applyAlignment="1">
      <alignment horizontal="right"/>
    </xf>
    <xf numFmtId="0" fontId="42" fillId="0" borderId="31" xfId="1" applyNumberFormat="1" applyFont="1" applyFill="1" applyBorder="1" applyAlignment="1">
      <alignment horizontal="right"/>
    </xf>
    <xf numFmtId="0" fontId="45" fillId="0" borderId="15" xfId="0" applyNumberFormat="1" applyFont="1" applyFill="1" applyBorder="1" applyAlignment="1">
      <alignment wrapText="1"/>
    </xf>
    <xf numFmtId="0" fontId="15" fillId="13" borderId="15" xfId="0" applyNumberFormat="1" applyFont="1" applyFill="1" applyBorder="1" applyAlignment="1">
      <alignment wrapText="1"/>
    </xf>
    <xf numFmtId="0" fontId="15" fillId="13" borderId="99" xfId="0" applyNumberFormat="1" applyFont="1" applyFill="1" applyBorder="1" applyAlignment="1">
      <alignment horizontal="right"/>
    </xf>
    <xf numFmtId="0" fontId="17" fillId="13" borderId="15" xfId="0" applyNumberFormat="1" applyFont="1" applyFill="1" applyBorder="1" applyAlignment="1">
      <alignment horizontal="right"/>
    </xf>
    <xf numFmtId="0" fontId="15" fillId="13" borderId="15" xfId="1" applyNumberFormat="1" applyFont="1" applyFill="1" applyBorder="1" applyAlignment="1">
      <alignment horizontal="right"/>
    </xf>
    <xf numFmtId="0" fontId="47" fillId="13" borderId="15" xfId="1" applyNumberFormat="1" applyFont="1" applyFill="1" applyBorder="1" applyAlignment="1">
      <alignment horizontal="right"/>
    </xf>
    <xf numFmtId="0" fontId="45" fillId="13" borderId="15" xfId="1" applyNumberFormat="1" applyFont="1" applyFill="1" applyBorder="1" applyAlignment="1">
      <alignment horizontal="right"/>
    </xf>
    <xf numFmtId="0" fontId="46" fillId="13" borderId="15" xfId="1" applyNumberFormat="1" applyFont="1" applyFill="1" applyBorder="1" applyAlignment="1">
      <alignment horizontal="right"/>
    </xf>
    <xf numFmtId="0" fontId="46" fillId="13" borderId="31" xfId="1" applyNumberFormat="1" applyFont="1" applyFill="1" applyBorder="1" applyAlignment="1">
      <alignment horizontal="right"/>
    </xf>
    <xf numFmtId="0" fontId="42" fillId="13" borderId="88" xfId="1" applyNumberFormat="1" applyFont="1" applyFill="1" applyBorder="1" applyAlignment="1">
      <alignment horizontal="right"/>
    </xf>
    <xf numFmtId="0" fontId="42" fillId="13" borderId="31" xfId="1" applyNumberFormat="1" applyFont="1" applyFill="1" applyBorder="1" applyAlignment="1">
      <alignment horizontal="right"/>
    </xf>
    <xf numFmtId="0" fontId="48" fillId="0" borderId="15" xfId="1" applyNumberFormat="1" applyFont="1" applyFill="1" applyBorder="1" applyAlignment="1">
      <alignment horizontal="right"/>
    </xf>
    <xf numFmtId="0" fontId="43" fillId="0" borderId="15" xfId="1" applyNumberFormat="1" applyFont="1" applyFill="1" applyBorder="1" applyAlignment="1">
      <alignment horizontal="right"/>
    </xf>
    <xf numFmtId="0" fontId="42" fillId="0" borderId="15" xfId="1" applyNumberFormat="1" applyFont="1" applyFill="1" applyBorder="1" applyAlignment="1">
      <alignment horizontal="right"/>
    </xf>
    <xf numFmtId="0" fontId="15" fillId="12" borderId="99" xfId="0" applyNumberFormat="1" applyFont="1" applyFill="1" applyBorder="1" applyAlignment="1">
      <alignment horizontal="right"/>
    </xf>
    <xf numFmtId="0" fontId="15" fillId="12" borderId="15" xfId="0" applyNumberFormat="1" applyFont="1" applyFill="1" applyBorder="1" applyAlignment="1">
      <alignment wrapText="1"/>
    </xf>
    <xf numFmtId="0" fontId="17" fillId="12" borderId="15" xfId="0" applyNumberFormat="1" applyFont="1" applyFill="1" applyBorder="1" applyAlignment="1">
      <alignment horizontal="right"/>
    </xf>
    <xf numFmtId="0" fontId="43" fillId="12" borderId="15" xfId="0" applyNumberFormat="1" applyFont="1" applyFill="1" applyBorder="1" applyAlignment="1">
      <alignment horizontal="right"/>
    </xf>
    <xf numFmtId="0" fontId="42" fillId="12" borderId="15" xfId="0" applyNumberFormat="1" applyFont="1" applyFill="1" applyBorder="1" applyAlignment="1">
      <alignment horizontal="right"/>
    </xf>
    <xf numFmtId="0" fontId="44" fillId="12" borderId="15" xfId="0" applyNumberFormat="1" applyFont="1" applyFill="1" applyBorder="1" applyAlignment="1">
      <alignment horizontal="right"/>
    </xf>
    <xf numFmtId="0" fontId="42" fillId="12" borderId="15" xfId="0" applyNumberFormat="1" applyFont="1" applyFill="1" applyBorder="1" applyAlignment="1">
      <alignment horizontal="center"/>
    </xf>
    <xf numFmtId="0" fontId="15" fillId="0" borderId="99" xfId="0" applyNumberFormat="1" applyFont="1" applyBorder="1" applyAlignment="1">
      <alignment horizontal="right"/>
    </xf>
    <xf numFmtId="0" fontId="47" fillId="0" borderId="15" xfId="1" applyNumberFormat="1" applyFont="1" applyBorder="1" applyAlignment="1">
      <alignment horizontal="right"/>
    </xf>
    <xf numFmtId="0" fontId="48" fillId="13" borderId="15" xfId="1" applyNumberFormat="1" applyFont="1" applyFill="1" applyBorder="1" applyAlignment="1">
      <alignment horizontal="right"/>
    </xf>
    <xf numFmtId="0" fontId="15" fillId="8" borderId="88" xfId="0" applyNumberFormat="1" applyFont="1" applyFill="1" applyBorder="1" applyAlignment="1">
      <alignment wrapText="1"/>
    </xf>
    <xf numFmtId="0" fontId="17" fillId="9" borderId="99" xfId="0" applyNumberFormat="1" applyFont="1" applyFill="1" applyBorder="1"/>
    <xf numFmtId="0" fontId="15" fillId="9" borderId="15" xfId="1" applyNumberFormat="1" applyFont="1" applyFill="1" applyBorder="1" applyAlignment="1">
      <alignment horizontal="right" wrapText="1"/>
    </xf>
    <xf numFmtId="0" fontId="47" fillId="9" borderId="15" xfId="1" applyNumberFormat="1" applyFont="1" applyFill="1" applyBorder="1" applyAlignment="1">
      <alignment horizontal="right" wrapText="1"/>
    </xf>
    <xf numFmtId="0" fontId="45" fillId="9" borderId="15" xfId="1" applyNumberFormat="1" applyFont="1" applyFill="1" applyBorder="1" applyAlignment="1">
      <alignment horizontal="right" wrapText="1"/>
    </xf>
    <xf numFmtId="0" fontId="46" fillId="9" borderId="15" xfId="1" applyNumberFormat="1" applyFont="1" applyFill="1" applyBorder="1" applyAlignment="1">
      <alignment horizontal="right" wrapText="1"/>
    </xf>
    <xf numFmtId="0" fontId="45" fillId="9" borderId="31" xfId="1" applyNumberFormat="1" applyFont="1" applyFill="1" applyBorder="1" applyAlignment="1">
      <alignment horizontal="right" wrapText="1"/>
    </xf>
    <xf numFmtId="0" fontId="15" fillId="8" borderId="88" xfId="0" applyNumberFormat="1" applyFont="1" applyFill="1" applyBorder="1"/>
    <xf numFmtId="0" fontId="15" fillId="7" borderId="99" xfId="0" applyNumberFormat="1" applyFont="1" applyFill="1" applyBorder="1" applyAlignment="1">
      <alignment horizontal="right"/>
    </xf>
    <xf numFmtId="0" fontId="15" fillId="7" borderId="15" xfId="0" applyNumberFormat="1" applyFont="1" applyFill="1" applyBorder="1" applyAlignment="1">
      <alignment wrapText="1"/>
    </xf>
    <xf numFmtId="0" fontId="17" fillId="7" borderId="15" xfId="0" applyNumberFormat="1" applyFont="1" applyFill="1" applyBorder="1" applyAlignment="1">
      <alignment horizontal="right"/>
    </xf>
    <xf numFmtId="0" fontId="15" fillId="7" borderId="15" xfId="1" applyNumberFormat="1" applyFont="1" applyFill="1" applyBorder="1" applyAlignment="1">
      <alignment horizontal="right"/>
    </xf>
    <xf numFmtId="0" fontId="47" fillId="7" borderId="15" xfId="1" applyNumberFormat="1" applyFont="1" applyFill="1" applyBorder="1" applyAlignment="1">
      <alignment horizontal="right"/>
    </xf>
    <xf numFmtId="0" fontId="45" fillId="7" borderId="15" xfId="1" applyNumberFormat="1" applyFont="1" applyFill="1" applyBorder="1" applyAlignment="1">
      <alignment horizontal="right"/>
    </xf>
    <xf numFmtId="0" fontId="45" fillId="0" borderId="31" xfId="1" applyNumberFormat="1" applyFont="1" applyFill="1" applyBorder="1" applyAlignment="1">
      <alignment horizontal="right"/>
    </xf>
    <xf numFmtId="0" fontId="15" fillId="15" borderId="15" xfId="0" applyNumberFormat="1" applyFont="1" applyFill="1" applyBorder="1" applyAlignment="1">
      <alignment wrapText="1"/>
    </xf>
    <xf numFmtId="0" fontId="17" fillId="8" borderId="99" xfId="0" applyNumberFormat="1" applyFont="1" applyFill="1" applyBorder="1" applyAlignment="1">
      <alignment horizontal="right"/>
    </xf>
    <xf numFmtId="0" fontId="17" fillId="8" borderId="15" xfId="0" applyNumberFormat="1" applyFont="1" applyFill="1" applyBorder="1" applyAlignment="1">
      <alignment vertical="top" wrapText="1"/>
    </xf>
    <xf numFmtId="0" fontId="17" fillId="8" borderId="15" xfId="0" applyNumberFormat="1" applyFont="1" applyFill="1" applyBorder="1" applyAlignment="1">
      <alignment horizontal="right" vertical="top" wrapText="1"/>
    </xf>
    <xf numFmtId="0" fontId="48" fillId="8" borderId="15" xfId="1" applyNumberFormat="1" applyFont="1" applyFill="1" applyBorder="1" applyAlignment="1">
      <alignment horizontal="right" vertical="top" wrapText="1"/>
    </xf>
    <xf numFmtId="0" fontId="43" fillId="8" borderId="15" xfId="1" applyNumberFormat="1" applyFont="1" applyFill="1" applyBorder="1" applyAlignment="1">
      <alignment horizontal="right" vertical="top" wrapText="1"/>
    </xf>
    <xf numFmtId="0" fontId="42" fillId="8" borderId="15" xfId="1" applyNumberFormat="1" applyFont="1" applyFill="1" applyBorder="1" applyAlignment="1">
      <alignment horizontal="right" vertical="top" wrapText="1"/>
    </xf>
    <xf numFmtId="0" fontId="15" fillId="8" borderId="15" xfId="1" applyNumberFormat="1" applyFont="1" applyFill="1" applyBorder="1" applyAlignment="1">
      <alignment horizontal="right"/>
    </xf>
    <xf numFmtId="0" fontId="46" fillId="8" borderId="15" xfId="1" applyNumberFormat="1" applyFont="1" applyFill="1" applyBorder="1" applyAlignment="1">
      <alignment horizontal="right"/>
    </xf>
    <xf numFmtId="0" fontId="45" fillId="8" borderId="15" xfId="1" applyNumberFormat="1" applyFont="1" applyFill="1" applyBorder="1" applyAlignment="1">
      <alignment horizontal="right"/>
    </xf>
    <xf numFmtId="0" fontId="15" fillId="8" borderId="99" xfId="0" applyNumberFormat="1" applyFont="1" applyFill="1" applyBorder="1" applyAlignment="1">
      <alignment horizontal="right"/>
    </xf>
    <xf numFmtId="0" fontId="17" fillId="8" borderId="15" xfId="0" applyNumberFormat="1" applyFont="1" applyFill="1" applyBorder="1" applyAlignment="1">
      <alignment horizontal="right" wrapText="1"/>
    </xf>
    <xf numFmtId="0" fontId="17" fillId="8" borderId="88" xfId="0" applyNumberFormat="1" applyFont="1" applyFill="1" applyBorder="1" applyAlignment="1">
      <alignment horizontal="right" wrapText="1"/>
    </xf>
    <xf numFmtId="0" fontId="15" fillId="0" borderId="15" xfId="0" applyNumberFormat="1" applyFont="1" applyBorder="1" applyAlignment="1">
      <alignment horizontal="left" vertical="top" wrapText="1"/>
    </xf>
    <xf numFmtId="0" fontId="48" fillId="6" borderId="15" xfId="1" applyNumberFormat="1" applyFont="1" applyFill="1" applyBorder="1" applyAlignment="1">
      <alignment horizontal="right" vertical="top" wrapText="1"/>
    </xf>
    <xf numFmtId="0" fontId="48" fillId="6" borderId="15" xfId="21" applyNumberFormat="1" applyFont="1" applyFill="1" applyBorder="1" applyAlignment="1">
      <alignment horizontal="right" vertical="top" wrapText="1"/>
    </xf>
    <xf numFmtId="0" fontId="43" fillId="6" borderId="15" xfId="1" applyNumberFormat="1" applyFont="1" applyFill="1" applyBorder="1" applyAlignment="1">
      <alignment horizontal="right" vertical="top" wrapText="1"/>
    </xf>
    <xf numFmtId="0" fontId="46" fillId="0" borderId="15" xfId="1" applyNumberFormat="1" applyFont="1" applyBorder="1" applyAlignment="1">
      <alignment horizontal="right"/>
    </xf>
    <xf numFmtId="0" fontId="45" fillId="0" borderId="41" xfId="1" applyNumberFormat="1" applyFont="1" applyBorder="1" applyAlignment="1">
      <alignment horizontal="right"/>
    </xf>
    <xf numFmtId="0" fontId="15" fillId="0" borderId="15" xfId="0" applyNumberFormat="1" applyFont="1" applyBorder="1" applyAlignment="1">
      <alignment vertical="top" wrapText="1"/>
    </xf>
    <xf numFmtId="0" fontId="17" fillId="0" borderId="15" xfId="0" applyNumberFormat="1" applyFont="1" applyBorder="1" applyAlignment="1">
      <alignment horizontal="right" vertical="top" wrapText="1"/>
    </xf>
    <xf numFmtId="0" fontId="45" fillId="0" borderId="87" xfId="1" applyNumberFormat="1" applyFont="1" applyBorder="1" applyAlignment="1">
      <alignment horizontal="right"/>
    </xf>
    <xf numFmtId="0" fontId="15" fillId="0" borderId="15" xfId="0" applyNumberFormat="1" applyFont="1" applyBorder="1" applyAlignment="1">
      <alignment horizontal="center" vertical="top" wrapText="1"/>
    </xf>
    <xf numFmtId="0" fontId="15" fillId="0" borderId="15" xfId="0" applyNumberFormat="1" applyFont="1" applyBorder="1" applyAlignment="1">
      <alignment wrapText="1"/>
    </xf>
    <xf numFmtId="0" fontId="45" fillId="0" borderId="74" xfId="1" applyNumberFormat="1" applyFont="1" applyBorder="1" applyAlignment="1">
      <alignment horizontal="right"/>
    </xf>
    <xf numFmtId="0" fontId="17" fillId="8" borderId="15" xfId="0" applyNumberFormat="1" applyFont="1" applyFill="1" applyBorder="1" applyAlignment="1">
      <alignment wrapText="1"/>
    </xf>
    <xf numFmtId="0" fontId="17" fillId="8" borderId="15" xfId="0" applyNumberFormat="1" applyFont="1" applyFill="1" applyBorder="1" applyAlignment="1">
      <alignment horizontal="right"/>
    </xf>
    <xf numFmtId="0" fontId="47" fillId="8" borderId="15" xfId="1" applyNumberFormat="1" applyFont="1" applyFill="1" applyBorder="1" applyAlignment="1">
      <alignment horizontal="right"/>
    </xf>
    <xf numFmtId="0" fontId="44" fillId="6" borderId="15" xfId="21" applyNumberFormat="1" applyFont="1" applyFill="1" applyBorder="1" applyAlignment="1">
      <alignment horizontal="right" vertical="top" wrapText="1"/>
    </xf>
    <xf numFmtId="0" fontId="44" fillId="6" borderId="31" xfId="1" applyNumberFormat="1" applyFont="1" applyFill="1" applyBorder="1" applyAlignment="1">
      <alignment horizontal="right" vertical="top" wrapText="1"/>
    </xf>
    <xf numFmtId="0" fontId="42" fillId="6" borderId="109" xfId="1" applyNumberFormat="1" applyFont="1" applyFill="1" applyBorder="1" applyAlignment="1">
      <alignment horizontal="right"/>
    </xf>
    <xf numFmtId="0" fontId="17" fillId="9" borderId="99" xfId="0" applyNumberFormat="1" applyFont="1" applyFill="1" applyBorder="1" applyAlignment="1">
      <alignment horizontal="center"/>
    </xf>
    <xf numFmtId="0" fontId="17" fillId="9" borderId="15" xfId="0" applyNumberFormat="1" applyFont="1" applyFill="1" applyBorder="1" applyAlignment="1">
      <alignment horizontal="left"/>
    </xf>
    <xf numFmtId="0" fontId="43" fillId="9" borderId="15" xfId="0" applyNumberFormat="1" applyFont="1" applyFill="1" applyBorder="1" applyAlignment="1">
      <alignment horizontal="right"/>
    </xf>
    <xf numFmtId="0" fontId="42" fillId="9" borderId="15" xfId="0" applyNumberFormat="1" applyFont="1" applyFill="1" applyBorder="1" applyAlignment="1">
      <alignment horizontal="right"/>
    </xf>
    <xf numFmtId="0" fontId="44" fillId="9" borderId="15" xfId="1" applyNumberFormat="1" applyFont="1" applyFill="1" applyBorder="1" applyAlignment="1">
      <alignment horizontal="right"/>
    </xf>
    <xf numFmtId="0" fontId="44" fillId="9" borderId="31" xfId="1" applyNumberFormat="1" applyFont="1" applyFill="1" applyBorder="1" applyAlignment="1">
      <alignment horizontal="right"/>
    </xf>
    <xf numFmtId="0" fontId="17" fillId="9" borderId="88" xfId="0" applyNumberFormat="1" applyFont="1" applyFill="1" applyBorder="1" applyAlignment="1">
      <alignment horizontal="center"/>
    </xf>
    <xf numFmtId="0" fontId="17" fillId="8" borderId="15" xfId="1" applyNumberFormat="1" applyFont="1" applyFill="1" applyBorder="1" applyAlignment="1">
      <alignment horizontal="right"/>
    </xf>
    <xf numFmtId="0" fontId="43" fillId="8" borderId="15" xfId="1" applyNumberFormat="1" applyFont="1" applyFill="1" applyBorder="1" applyAlignment="1">
      <alignment horizontal="right"/>
    </xf>
    <xf numFmtId="0" fontId="42" fillId="8" borderId="15" xfId="1" applyNumberFormat="1" applyFont="1" applyFill="1" applyBorder="1" applyAlignment="1">
      <alignment horizontal="right"/>
    </xf>
    <xf numFmtId="0" fontId="17" fillId="8" borderId="88" xfId="0" applyNumberFormat="1" applyFont="1" applyFill="1" applyBorder="1" applyAlignment="1">
      <alignment horizontal="center"/>
    </xf>
    <xf numFmtId="0" fontId="17" fillId="0" borderId="15" xfId="0" applyNumberFormat="1" applyFont="1" applyFill="1" applyBorder="1" applyAlignment="1">
      <alignment horizontal="right" vertical="top" wrapText="1"/>
    </xf>
    <xf numFmtId="0" fontId="17" fillId="13" borderId="15" xfId="0" applyNumberFormat="1" applyFont="1" applyFill="1" applyBorder="1" applyAlignment="1">
      <alignment horizontal="right" vertical="top" wrapText="1"/>
    </xf>
    <xf numFmtId="0" fontId="15" fillId="9" borderId="15" xfId="1" applyNumberFormat="1" applyFont="1" applyFill="1" applyBorder="1" applyAlignment="1">
      <alignment horizontal="right"/>
    </xf>
    <xf numFmtId="0" fontId="47" fillId="9" borderId="15" xfId="1" applyNumberFormat="1" applyFont="1" applyFill="1" applyBorder="1" applyAlignment="1">
      <alignment horizontal="right"/>
    </xf>
    <xf numFmtId="0" fontId="45" fillId="9" borderId="15" xfId="1" applyNumberFormat="1" applyFont="1" applyFill="1" applyBorder="1" applyAlignment="1">
      <alignment horizontal="right"/>
    </xf>
    <xf numFmtId="0" fontId="46" fillId="9" borderId="15" xfId="1" applyNumberFormat="1" applyFont="1" applyFill="1" applyBorder="1" applyAlignment="1">
      <alignment horizontal="right"/>
    </xf>
    <xf numFmtId="0" fontId="44" fillId="8" borderId="15" xfId="1" applyNumberFormat="1" applyFont="1" applyFill="1" applyBorder="1" applyAlignment="1">
      <alignment horizontal="right"/>
    </xf>
    <xf numFmtId="0" fontId="44" fillId="8" borderId="15" xfId="1" applyNumberFormat="1" applyFont="1" applyFill="1" applyBorder="1" applyAlignment="1">
      <alignment horizontal="center"/>
    </xf>
    <xf numFmtId="0" fontId="17" fillId="0" borderId="15" xfId="0" applyNumberFormat="1" applyFont="1" applyBorder="1" applyAlignment="1">
      <alignment wrapText="1"/>
    </xf>
    <xf numFmtId="0" fontId="48" fillId="13" borderId="15" xfId="1" applyNumberFormat="1" applyFont="1" applyFill="1" applyBorder="1" applyAlignment="1">
      <alignment horizontal="right" vertical="top" wrapText="1"/>
    </xf>
    <xf numFmtId="0" fontId="17" fillId="9" borderId="15" xfId="0" applyNumberFormat="1" applyFont="1" applyFill="1" applyBorder="1" applyAlignment="1">
      <alignment horizontal="right" vertical="top" wrapText="1"/>
    </xf>
    <xf numFmtId="0" fontId="17" fillId="9" borderId="15" xfId="1" applyNumberFormat="1" applyFont="1" applyFill="1" applyBorder="1" applyAlignment="1">
      <alignment horizontal="right" vertical="top" wrapText="1"/>
    </xf>
    <xf numFmtId="0" fontId="17" fillId="9" borderId="88" xfId="0" applyNumberFormat="1" applyFont="1" applyFill="1" applyBorder="1" applyAlignment="1">
      <alignment horizontal="center" vertical="top" wrapText="1"/>
    </xf>
    <xf numFmtId="0" fontId="41" fillId="0" borderId="15" xfId="1" applyNumberFormat="1" applyFont="1" applyFill="1" applyBorder="1" applyAlignment="1">
      <alignment horizontal="right"/>
    </xf>
    <xf numFmtId="0" fontId="17" fillId="8" borderId="99" xfId="0" applyNumberFormat="1" applyFont="1" applyFill="1" applyBorder="1" applyAlignment="1">
      <alignment horizontal="left" wrapText="1"/>
    </xf>
    <xf numFmtId="0" fontId="17" fillId="8" borderId="15" xfId="0" applyNumberFormat="1" applyFont="1" applyFill="1" applyBorder="1" applyAlignment="1">
      <alignment horizontal="left" wrapText="1"/>
    </xf>
    <xf numFmtId="0" fontId="17" fillId="9" borderId="15" xfId="0" applyNumberFormat="1" applyFont="1" applyFill="1" applyBorder="1" applyAlignment="1">
      <alignment horizontal="center" wrapText="1"/>
    </xf>
    <xf numFmtId="0" fontId="17" fillId="9" borderId="15" xfId="1" applyNumberFormat="1" applyFont="1" applyFill="1" applyBorder="1" applyAlignment="1">
      <alignment horizontal="right"/>
    </xf>
    <xf numFmtId="0" fontId="17" fillId="9" borderId="15" xfId="1" applyNumberFormat="1" applyFont="1" applyFill="1" applyBorder="1" applyAlignment="1">
      <alignment horizontal="center"/>
    </xf>
    <xf numFmtId="0" fontId="45" fillId="0" borderId="31" xfId="1" applyNumberFormat="1" applyFont="1" applyBorder="1" applyAlignment="1">
      <alignment horizontal="right"/>
    </xf>
    <xf numFmtId="0" fontId="17" fillId="0" borderId="88" xfId="0" applyNumberFormat="1" applyFont="1" applyBorder="1" applyAlignment="1">
      <alignment horizontal="center" vertical="top" wrapText="1"/>
    </xf>
    <xf numFmtId="0" fontId="17" fillId="9" borderId="15" xfId="0" applyNumberFormat="1" applyFont="1" applyFill="1" applyBorder="1" applyAlignment="1">
      <alignment horizontal="left" wrapText="1"/>
    </xf>
    <xf numFmtId="0" fontId="17" fillId="9" borderId="31" xfId="0" applyNumberFormat="1" applyFont="1" applyFill="1" applyBorder="1" applyAlignment="1">
      <alignment horizontal="right" wrapText="1"/>
    </xf>
    <xf numFmtId="0" fontId="17" fillId="0" borderId="99" xfId="0" applyNumberFormat="1" applyFont="1" applyFill="1" applyBorder="1" applyAlignment="1">
      <alignment horizontal="center"/>
    </xf>
    <xf numFmtId="0" fontId="15" fillId="0" borderId="15" xfId="0" applyNumberFormat="1" applyFont="1" applyFill="1" applyBorder="1" applyAlignment="1">
      <alignment horizontal="left" wrapText="1"/>
    </xf>
    <xf numFmtId="0" fontId="48" fillId="6" borderId="15" xfId="21" applyNumberFormat="1" applyFont="1" applyFill="1" applyBorder="1" applyAlignment="1">
      <alignment horizontal="right"/>
    </xf>
    <xf numFmtId="0" fontId="43" fillId="6" borderId="15" xfId="1" applyNumberFormat="1" applyFont="1" applyFill="1" applyBorder="1" applyAlignment="1">
      <alignment horizontal="right"/>
    </xf>
    <xf numFmtId="0" fontId="44" fillId="6" borderId="31" xfId="21" applyNumberFormat="1" applyFont="1" applyFill="1" applyBorder="1" applyAlignment="1">
      <alignment horizontal="right"/>
    </xf>
    <xf numFmtId="0" fontId="17" fillId="8" borderId="99" xfId="0" applyNumberFormat="1" applyFont="1" applyFill="1" applyBorder="1" applyAlignment="1">
      <alignment horizontal="left"/>
    </xf>
    <xf numFmtId="0" fontId="17" fillId="8" borderId="15" xfId="0" applyNumberFormat="1" applyFont="1" applyFill="1" applyBorder="1" applyAlignment="1">
      <alignment horizontal="left"/>
    </xf>
    <xf numFmtId="0" fontId="15" fillId="9" borderId="88" xfId="0" applyNumberFormat="1" applyFont="1" applyFill="1" applyBorder="1" applyAlignment="1">
      <alignment horizontal="center"/>
    </xf>
    <xf numFmtId="0" fontId="15" fillId="0" borderId="99" xfId="0" applyNumberFormat="1" applyFont="1" applyBorder="1" applyAlignment="1">
      <alignment horizontal="center" wrapText="1"/>
    </xf>
    <xf numFmtId="0" fontId="15" fillId="0" borderId="15" xfId="0" applyNumberFormat="1" applyFont="1" applyFill="1" applyBorder="1" applyAlignment="1">
      <alignment horizontal="right"/>
    </xf>
    <xf numFmtId="0" fontId="47" fillId="0" borderId="15" xfId="0" applyNumberFormat="1" applyFont="1" applyFill="1" applyBorder="1" applyAlignment="1">
      <alignment horizontal="right"/>
    </xf>
    <xf numFmtId="0" fontId="45" fillId="0" borderId="15" xfId="0" applyNumberFormat="1" applyFont="1" applyFill="1" applyBorder="1" applyAlignment="1">
      <alignment horizontal="right"/>
    </xf>
    <xf numFmtId="0" fontId="46" fillId="0" borderId="15" xfId="0" applyNumberFormat="1" applyFont="1" applyFill="1" applyBorder="1" applyAlignment="1">
      <alignment horizontal="right"/>
    </xf>
    <xf numFmtId="0" fontId="45" fillId="0" borderId="31" xfId="0" applyNumberFormat="1" applyFont="1" applyFill="1" applyBorder="1" applyAlignment="1">
      <alignment horizontal="right"/>
    </xf>
    <xf numFmtId="0" fontId="17" fillId="0" borderId="88" xfId="0" applyNumberFormat="1" applyFont="1" applyFill="1" applyBorder="1"/>
    <xf numFmtId="0" fontId="15" fillId="0" borderId="99" xfId="0" applyNumberFormat="1" applyFont="1" applyBorder="1" applyAlignment="1">
      <alignment vertical="top" wrapText="1"/>
    </xf>
    <xf numFmtId="0" fontId="17" fillId="0" borderId="15" xfId="0" applyNumberFormat="1" applyFont="1" applyBorder="1" applyAlignment="1">
      <alignment horizontal="center" vertical="top" wrapText="1"/>
    </xf>
    <xf numFmtId="0" fontId="42" fillId="0" borderId="15" xfId="0" applyNumberFormat="1" applyFont="1" applyBorder="1" applyAlignment="1">
      <alignment horizontal="right"/>
    </xf>
    <xf numFmtId="0" fontId="44" fillId="0" borderId="15" xfId="0" applyNumberFormat="1" applyFont="1" applyBorder="1" applyAlignment="1">
      <alignment horizontal="right"/>
    </xf>
    <xf numFmtId="0" fontId="42" fillId="0" borderId="31" xfId="0" applyNumberFormat="1" applyFont="1" applyBorder="1" applyAlignment="1">
      <alignment horizontal="right"/>
    </xf>
    <xf numFmtId="0" fontId="17" fillId="0" borderId="88" xfId="0" applyNumberFormat="1" applyFont="1" applyBorder="1" applyAlignment="1">
      <alignment wrapText="1"/>
    </xf>
    <xf numFmtId="0" fontId="41" fillId="0" borderId="15" xfId="1" applyNumberFormat="1" applyFont="1" applyBorder="1" applyAlignment="1">
      <alignment horizontal="right"/>
    </xf>
    <xf numFmtId="0" fontId="44" fillId="0" borderId="15" xfId="1" applyNumberFormat="1" applyFont="1" applyBorder="1" applyAlignment="1">
      <alignment horizontal="right"/>
    </xf>
    <xf numFmtId="0" fontId="42" fillId="0" borderId="15" xfId="1" applyNumberFormat="1" applyFont="1" applyBorder="1" applyAlignment="1">
      <alignment horizontal="right"/>
    </xf>
    <xf numFmtId="0" fontId="42" fillId="0" borderId="31" xfId="1" applyNumberFormat="1" applyFont="1" applyBorder="1" applyAlignment="1">
      <alignment horizontal="right"/>
    </xf>
    <xf numFmtId="0" fontId="15" fillId="6" borderId="15" xfId="1" applyNumberFormat="1" applyFont="1" applyFill="1" applyBorder="1" applyAlignment="1">
      <alignment horizontal="right" vertical="top" wrapText="1"/>
    </xf>
    <xf numFmtId="0" fontId="41" fillId="6" borderId="15" xfId="1" applyNumberFormat="1" applyFont="1" applyFill="1" applyBorder="1" applyAlignment="1">
      <alignment horizontal="right"/>
    </xf>
    <xf numFmtId="0" fontId="44" fillId="6" borderId="31" xfId="0" applyNumberFormat="1" applyFont="1" applyFill="1" applyBorder="1" applyAlignment="1">
      <alignment horizontal="right"/>
    </xf>
    <xf numFmtId="0" fontId="17" fillId="0" borderId="15" xfId="1" applyNumberFormat="1" applyFont="1" applyFill="1" applyBorder="1" applyAlignment="1">
      <alignment horizontal="right"/>
    </xf>
    <xf numFmtId="0" fontId="15" fillId="9" borderId="72" xfId="1" applyNumberFormat="1" applyFont="1" applyFill="1" applyBorder="1" applyAlignment="1">
      <alignment horizontal="right"/>
    </xf>
    <xf numFmtId="0" fontId="15" fillId="9" borderId="88" xfId="0" applyNumberFormat="1" applyFont="1" applyFill="1" applyBorder="1" applyAlignment="1">
      <alignment horizontal="right"/>
    </xf>
    <xf numFmtId="0" fontId="15" fillId="9" borderId="0" xfId="0" applyNumberFormat="1" applyFont="1" applyFill="1" applyBorder="1" applyAlignment="1">
      <alignment horizontal="center"/>
    </xf>
    <xf numFmtId="0" fontId="17" fillId="0" borderId="0" xfId="0" applyNumberFormat="1" applyFont="1" applyFill="1" applyBorder="1" applyAlignment="1">
      <alignment horizontal="center" wrapText="1"/>
    </xf>
    <xf numFmtId="0" fontId="15" fillId="9" borderId="99" xfId="0" applyNumberFormat="1" applyFont="1" applyFill="1" applyBorder="1" applyAlignment="1">
      <alignment horizontal="center"/>
    </xf>
    <xf numFmtId="0" fontId="15" fillId="9" borderId="15" xfId="0" applyNumberFormat="1" applyFont="1" applyFill="1" applyBorder="1" applyAlignment="1">
      <alignment horizontal="right"/>
    </xf>
    <xf numFmtId="0" fontId="17" fillId="0" borderId="15" xfId="0" applyNumberFormat="1" applyFont="1" applyFill="1" applyBorder="1" applyAlignment="1">
      <alignment horizontal="left" wrapText="1"/>
    </xf>
    <xf numFmtId="0" fontId="47" fillId="6" borderId="15" xfId="1" applyNumberFormat="1" applyFont="1" applyFill="1" applyBorder="1" applyAlignment="1">
      <alignment horizontal="right"/>
    </xf>
    <xf numFmtId="0" fontId="17" fillId="9" borderId="88" xfId="0" applyNumberFormat="1" applyFont="1" applyFill="1" applyBorder="1" applyAlignment="1">
      <alignment horizontal="right"/>
    </xf>
    <xf numFmtId="0" fontId="17" fillId="9" borderId="0" xfId="0" applyNumberFormat="1" applyFont="1" applyFill="1" applyBorder="1"/>
    <xf numFmtId="0" fontId="17" fillId="0" borderId="0" xfId="0" applyNumberFormat="1" applyFont="1" applyBorder="1" applyAlignment="1">
      <alignment horizontal="center" wrapText="1"/>
    </xf>
    <xf numFmtId="0" fontId="17" fillId="0" borderId="0" xfId="0" applyNumberFormat="1" applyFont="1" applyBorder="1" applyAlignment="1">
      <alignment horizontal="right" wrapText="1"/>
    </xf>
    <xf numFmtId="0" fontId="15" fillId="0" borderId="15" xfId="0" applyNumberFormat="1" applyFont="1" applyBorder="1" applyAlignment="1">
      <alignment horizontal="left" wrapText="1"/>
    </xf>
    <xf numFmtId="0" fontId="15" fillId="0" borderId="99" xfId="0" applyNumberFormat="1" applyFont="1" applyBorder="1" applyAlignment="1">
      <alignment horizontal="left"/>
    </xf>
    <xf numFmtId="0" fontId="15" fillId="7" borderId="0" xfId="0" applyNumberFormat="1" applyFont="1" applyFill="1" applyBorder="1" applyAlignment="1">
      <alignment horizontal="left"/>
    </xf>
    <xf numFmtId="0" fontId="17" fillId="14" borderId="99" xfId="0" applyNumberFormat="1" applyFont="1" applyFill="1" applyBorder="1" applyAlignment="1">
      <alignment horizontal="left"/>
    </xf>
    <xf numFmtId="0" fontId="17" fillId="14" borderId="15" xfId="0" applyNumberFormat="1" applyFont="1" applyFill="1" applyBorder="1" applyAlignment="1">
      <alignment horizontal="left"/>
    </xf>
    <xf numFmtId="0" fontId="48" fillId="14" borderId="15" xfId="1" applyNumberFormat="1" applyFont="1" applyFill="1" applyBorder="1" applyAlignment="1">
      <alignment horizontal="right"/>
    </xf>
    <xf numFmtId="0" fontId="43" fillId="14" borderId="15" xfId="1" applyNumberFormat="1" applyFont="1" applyFill="1" applyBorder="1" applyAlignment="1">
      <alignment horizontal="right"/>
    </xf>
    <xf numFmtId="0" fontId="42" fillId="14" borderId="15" xfId="1" applyNumberFormat="1" applyFont="1" applyFill="1" applyBorder="1" applyAlignment="1">
      <alignment horizontal="right"/>
    </xf>
    <xf numFmtId="0" fontId="44" fillId="14" borderId="15" xfId="1" applyNumberFormat="1" applyFont="1" applyFill="1" applyBorder="1" applyAlignment="1">
      <alignment horizontal="right"/>
    </xf>
    <xf numFmtId="0" fontId="15" fillId="14" borderId="88" xfId="0" applyNumberFormat="1" applyFont="1" applyFill="1" applyBorder="1" applyAlignment="1">
      <alignment horizontal="right"/>
    </xf>
    <xf numFmtId="0" fontId="15" fillId="14" borderId="0" xfId="0" applyNumberFormat="1" applyFont="1" applyFill="1" applyBorder="1"/>
    <xf numFmtId="0" fontId="17" fillId="7" borderId="0" xfId="0" applyNumberFormat="1" applyFont="1" applyFill="1" applyBorder="1"/>
    <xf numFmtId="0" fontId="17" fillId="0" borderId="15" xfId="0" applyNumberFormat="1" applyFont="1" applyBorder="1"/>
    <xf numFmtId="0" fontId="17" fillId="9" borderId="0" xfId="0" applyNumberFormat="1" applyFont="1" applyFill="1" applyBorder="1" applyAlignment="1">
      <alignment horizontal="center"/>
    </xf>
    <xf numFmtId="0" fontId="15" fillId="0" borderId="99" xfId="0" applyNumberFormat="1" applyFont="1" applyBorder="1" applyAlignment="1">
      <alignment horizontal="center" vertical="top" wrapText="1"/>
    </xf>
    <xf numFmtId="0" fontId="15" fillId="0" borderId="15" xfId="0" applyNumberFormat="1" applyFont="1" applyBorder="1" applyAlignment="1">
      <alignment horizontal="right" vertical="top" wrapText="1"/>
    </xf>
    <xf numFmtId="0" fontId="15" fillId="0" borderId="88" xfId="0" applyNumberFormat="1" applyFont="1" applyBorder="1" applyAlignment="1">
      <alignment horizontal="center" wrapText="1"/>
    </xf>
    <xf numFmtId="0" fontId="15" fillId="0" borderId="99" xfId="0" applyNumberFormat="1" applyFont="1" applyBorder="1" applyAlignment="1">
      <alignment horizontal="center"/>
    </xf>
    <xf numFmtId="0" fontId="15" fillId="0" borderId="0" xfId="1" applyNumberFormat="1" applyFont="1" applyFill="1" applyBorder="1" applyAlignment="1">
      <alignment horizontal="right"/>
    </xf>
    <xf numFmtId="0" fontId="42" fillId="6" borderId="88" xfId="1" applyNumberFormat="1" applyFont="1" applyFill="1" applyBorder="1" applyAlignment="1">
      <alignment horizontal="right" wrapText="1"/>
    </xf>
    <xf numFmtId="0" fontId="17" fillId="0" borderId="0" xfId="0" applyNumberFormat="1" applyFont="1" applyBorder="1" applyAlignment="1">
      <alignment wrapText="1"/>
    </xf>
    <xf numFmtId="0" fontId="17" fillId="6" borderId="88" xfId="1" applyNumberFormat="1" applyFont="1" applyFill="1" applyBorder="1" applyAlignment="1">
      <alignment horizontal="right" wrapText="1"/>
    </xf>
    <xf numFmtId="0" fontId="17" fillId="8" borderId="15" xfId="0" applyNumberFormat="1" applyFont="1" applyFill="1" applyBorder="1" applyAlignment="1">
      <alignment horizontal="center" wrapText="1"/>
    </xf>
    <xf numFmtId="0" fontId="17" fillId="8" borderId="0" xfId="0" applyNumberFormat="1" applyFont="1" applyFill="1" applyBorder="1" applyAlignment="1">
      <alignment horizontal="center" wrapText="1"/>
    </xf>
    <xf numFmtId="0" fontId="15" fillId="0" borderId="0" xfId="0" applyNumberFormat="1" applyFont="1" applyBorder="1"/>
    <xf numFmtId="0" fontId="15" fillId="8" borderId="88" xfId="0" applyNumberFormat="1" applyFont="1" applyFill="1" applyBorder="1" applyAlignment="1">
      <alignment horizontal="right"/>
    </xf>
    <xf numFmtId="0" fontId="15" fillId="8" borderId="0" xfId="0" applyNumberFormat="1" applyFont="1" applyFill="1" applyBorder="1"/>
    <xf numFmtId="0" fontId="15" fillId="9" borderId="99" xfId="0" applyNumberFormat="1" applyFont="1" applyFill="1" applyBorder="1" applyAlignment="1">
      <alignment horizontal="right"/>
    </xf>
    <xf numFmtId="0" fontId="15" fillId="9" borderId="0" xfId="0" applyNumberFormat="1" applyFont="1" applyFill="1" applyBorder="1"/>
    <xf numFmtId="0" fontId="17" fillId="0" borderId="15" xfId="0" applyNumberFormat="1" applyFont="1" applyBorder="1" applyAlignment="1">
      <alignment horizontal="right" wrapText="1"/>
    </xf>
    <xf numFmtId="0" fontId="15" fillId="13" borderId="15" xfId="1" quotePrefix="1" applyNumberFormat="1" applyFont="1" applyFill="1" applyBorder="1" applyAlignment="1">
      <alignment horizontal="right"/>
    </xf>
    <xf numFmtId="0" fontId="46" fillId="6" borderId="15" xfId="21" applyNumberFormat="1" applyFont="1" applyFill="1" applyBorder="1" applyAlignment="1">
      <alignment horizontal="right"/>
    </xf>
    <xf numFmtId="0" fontId="46" fillId="6" borderId="15" xfId="1" applyNumberFormat="1" applyFont="1" applyFill="1" applyBorder="1" applyAlignment="1">
      <alignment horizontal="right"/>
    </xf>
    <xf numFmtId="0" fontId="45" fillId="6" borderId="15" xfId="1" applyNumberFormat="1" applyFont="1" applyFill="1" applyBorder="1" applyAlignment="1">
      <alignment horizontal="right"/>
    </xf>
    <xf numFmtId="0" fontId="17" fillId="6" borderId="15" xfId="1" applyNumberFormat="1" applyFont="1" applyFill="1" applyBorder="1" applyAlignment="1">
      <alignment horizontal="right" wrapText="1"/>
    </xf>
    <xf numFmtId="0" fontId="15" fillId="0" borderId="15" xfId="0" quotePrefix="1" applyNumberFormat="1" applyFont="1" applyBorder="1" applyAlignment="1">
      <alignment horizontal="right" vertical="top" wrapText="1"/>
    </xf>
    <xf numFmtId="0" fontId="17" fillId="12" borderId="15" xfId="0" applyNumberFormat="1" applyFont="1" applyFill="1" applyBorder="1" applyAlignment="1">
      <alignment wrapText="1"/>
    </xf>
    <xf numFmtId="0" fontId="15" fillId="12" borderId="15" xfId="1" applyNumberFormat="1" applyFont="1" applyFill="1" applyBorder="1" applyAlignment="1">
      <alignment horizontal="right"/>
    </xf>
    <xf numFmtId="0" fontId="47" fillId="12" borderId="15" xfId="1" applyNumberFormat="1" applyFont="1" applyFill="1" applyBorder="1" applyAlignment="1">
      <alignment horizontal="right"/>
    </xf>
    <xf numFmtId="0" fontId="45" fillId="12" borderId="15" xfId="1" applyNumberFormat="1" applyFont="1" applyFill="1" applyBorder="1" applyAlignment="1">
      <alignment horizontal="right"/>
    </xf>
    <xf numFmtId="0" fontId="15" fillId="0" borderId="15" xfId="1" quotePrefix="1" applyNumberFormat="1" applyFont="1" applyBorder="1" applyAlignment="1">
      <alignment horizontal="right" vertical="top" wrapText="1"/>
    </xf>
    <xf numFmtId="0" fontId="47" fillId="0" borderId="15" xfId="1" quotePrefix="1" applyNumberFormat="1" applyFont="1" applyBorder="1" applyAlignment="1">
      <alignment horizontal="right" vertical="top" wrapText="1"/>
    </xf>
    <xf numFmtId="0" fontId="45" fillId="0" borderId="15" xfId="1" quotePrefix="1" applyNumberFormat="1" applyFont="1" applyBorder="1" applyAlignment="1">
      <alignment horizontal="right" vertical="top" wrapText="1"/>
    </xf>
    <xf numFmtId="0" fontId="15" fillId="0" borderId="15" xfId="1" applyNumberFormat="1" applyFont="1" applyBorder="1" applyAlignment="1">
      <alignment horizontal="right" vertical="top" wrapText="1"/>
    </xf>
    <xf numFmtId="0" fontId="47" fillId="0" borderId="15" xfId="1" applyNumberFormat="1" applyFont="1" applyBorder="1" applyAlignment="1">
      <alignment horizontal="right" vertical="top" wrapText="1"/>
    </xf>
    <xf numFmtId="0" fontId="45" fillId="0" borderId="15" xfId="1" applyNumberFormat="1" applyFont="1" applyBorder="1" applyAlignment="1">
      <alignment horizontal="right" vertical="top" wrapText="1"/>
    </xf>
    <xf numFmtId="0" fontId="17" fillId="12" borderId="99" xfId="0" applyNumberFormat="1" applyFont="1" applyFill="1" applyBorder="1" applyAlignment="1"/>
    <xf numFmtId="0" fontId="17" fillId="12" borderId="15" xfId="1" applyNumberFormat="1" applyFont="1" applyFill="1" applyBorder="1" applyAlignment="1">
      <alignment horizontal="right"/>
    </xf>
    <xf numFmtId="0" fontId="43" fillId="12" borderId="15" xfId="1" applyNumberFormat="1" applyFont="1" applyFill="1" applyBorder="1" applyAlignment="1">
      <alignment horizontal="right"/>
    </xf>
    <xf numFmtId="0" fontId="42" fillId="12" borderId="15" xfId="1" applyNumberFormat="1" applyFont="1" applyFill="1" applyBorder="1" applyAlignment="1">
      <alignment horizontal="right"/>
    </xf>
    <xf numFmtId="0" fontId="15" fillId="9" borderId="99" xfId="0" applyNumberFormat="1" applyFont="1" applyFill="1" applyBorder="1" applyAlignment="1">
      <alignment horizontal="center" vertical="top" wrapText="1"/>
    </xf>
    <xf numFmtId="0" fontId="17" fillId="9" borderId="15" xfId="0" applyNumberFormat="1" applyFont="1" applyFill="1" applyBorder="1" applyAlignment="1">
      <alignment vertical="top" wrapText="1"/>
    </xf>
    <xf numFmtId="0" fontId="15" fillId="9" borderId="15" xfId="0" applyNumberFormat="1" applyFont="1" applyFill="1" applyBorder="1" applyAlignment="1">
      <alignment horizontal="right" vertical="top" wrapText="1"/>
    </xf>
    <xf numFmtId="0" fontId="15" fillId="9" borderId="0" xfId="1" applyNumberFormat="1" applyFont="1" applyFill="1" applyBorder="1" applyAlignment="1">
      <alignment horizontal="center" vertical="top" wrapText="1"/>
    </xf>
    <xf numFmtId="0" fontId="56" fillId="6" borderId="15" xfId="1" applyNumberFormat="1" applyFont="1" applyFill="1" applyBorder="1" applyAlignment="1">
      <alignment horizontal="right"/>
    </xf>
    <xf numFmtId="0" fontId="42" fillId="6" borderId="15" xfId="21" applyNumberFormat="1" applyFont="1" applyFill="1" applyBorder="1" applyAlignment="1">
      <alignment horizontal="right"/>
    </xf>
    <xf numFmtId="0" fontId="56" fillId="6" borderId="15" xfId="21" applyNumberFormat="1" applyFont="1" applyFill="1" applyBorder="1" applyAlignment="1">
      <alignment horizontal="right"/>
    </xf>
    <xf numFmtId="0" fontId="15" fillId="9" borderId="15" xfId="0" applyNumberFormat="1" applyFont="1" applyFill="1" applyBorder="1"/>
    <xf numFmtId="0" fontId="15" fillId="9" borderId="0" xfId="1" applyNumberFormat="1" applyFont="1" applyFill="1" applyBorder="1"/>
    <xf numFmtId="0" fontId="15" fillId="0" borderId="15" xfId="0" applyNumberFormat="1" applyFont="1" applyFill="1" applyBorder="1" applyProtection="1">
      <protection locked="0"/>
    </xf>
    <xf numFmtId="0" fontId="15" fillId="0" borderId="15" xfId="0" applyNumberFormat="1" applyFont="1" applyFill="1" applyBorder="1" applyAlignment="1" applyProtection="1">
      <alignment horizontal="right"/>
      <protection locked="0"/>
    </xf>
    <xf numFmtId="0" fontId="15" fillId="0" borderId="0" xfId="1" applyNumberFormat="1" applyFont="1" applyBorder="1"/>
    <xf numFmtId="0" fontId="15" fillId="7" borderId="15" xfId="0" applyNumberFormat="1" applyFont="1" applyFill="1" applyBorder="1"/>
    <xf numFmtId="0" fontId="15" fillId="7" borderId="15" xfId="0" applyNumberFormat="1" applyFont="1" applyFill="1" applyBorder="1" applyAlignment="1">
      <alignment horizontal="right"/>
    </xf>
    <xf numFmtId="0" fontId="46" fillId="7" borderId="15" xfId="0" applyNumberFormat="1" applyFont="1" applyFill="1" applyBorder="1" applyAlignment="1">
      <alignment horizontal="right"/>
    </xf>
    <xf numFmtId="0" fontId="45" fillId="7" borderId="15" xfId="0" applyNumberFormat="1" applyFont="1" applyFill="1" applyBorder="1" applyAlignment="1">
      <alignment horizontal="right"/>
    </xf>
    <xf numFmtId="0" fontId="46" fillId="9" borderId="15" xfId="0" applyNumberFormat="1" applyFont="1" applyFill="1" applyBorder="1" applyAlignment="1">
      <alignment horizontal="right"/>
    </xf>
    <xf numFmtId="0" fontId="45" fillId="9" borderId="15" xfId="0" applyNumberFormat="1" applyFont="1" applyFill="1" applyBorder="1" applyAlignment="1">
      <alignment horizontal="right"/>
    </xf>
    <xf numFmtId="0" fontId="0" fillId="0" borderId="15" xfId="0" applyNumberFormat="1" applyBorder="1" applyAlignment="1">
      <alignment horizontal="right"/>
    </xf>
    <xf numFmtId="0" fontId="0" fillId="0" borderId="116" xfId="0" applyNumberFormat="1" applyBorder="1" applyAlignment="1">
      <alignment horizontal="right"/>
    </xf>
    <xf numFmtId="0" fontId="17" fillId="9" borderId="33" xfId="0" applyNumberFormat="1" applyFont="1" applyFill="1" applyBorder="1"/>
    <xf numFmtId="0" fontId="17" fillId="9" borderId="15" xfId="0" applyNumberFormat="1" applyFont="1" applyFill="1" applyBorder="1" applyProtection="1">
      <protection locked="0"/>
    </xf>
    <xf numFmtId="0" fontId="17" fillId="9" borderId="15" xfId="0" applyNumberFormat="1" applyFont="1" applyFill="1" applyBorder="1" applyAlignment="1" applyProtection="1">
      <alignment horizontal="right"/>
      <protection locked="0"/>
    </xf>
    <xf numFmtId="0" fontId="48" fillId="9" borderId="15" xfId="1" applyNumberFormat="1" applyFont="1" applyFill="1" applyBorder="1" applyAlignment="1">
      <alignment horizontal="right"/>
    </xf>
    <xf numFmtId="0" fontId="44" fillId="9" borderId="15" xfId="0" applyNumberFormat="1" applyFont="1" applyFill="1" applyBorder="1" applyAlignment="1">
      <alignment horizontal="right"/>
    </xf>
    <xf numFmtId="0" fontId="17" fillId="9" borderId="31" xfId="0" applyNumberFormat="1" applyFont="1" applyFill="1" applyBorder="1" applyAlignment="1">
      <alignment horizontal="right"/>
    </xf>
    <xf numFmtId="0" fontId="17" fillId="9" borderId="31" xfId="0" applyNumberFormat="1" applyFont="1" applyFill="1" applyBorder="1"/>
    <xf numFmtId="0" fontId="15" fillId="7" borderId="33" xfId="0" applyNumberFormat="1" applyFont="1" applyFill="1" applyBorder="1"/>
    <xf numFmtId="0" fontId="15" fillId="0" borderId="15" xfId="0" applyNumberFormat="1" applyFont="1" applyFill="1" applyBorder="1" applyAlignment="1" applyProtection="1">
      <alignment wrapText="1"/>
      <protection locked="0"/>
    </xf>
    <xf numFmtId="0" fontId="15" fillId="9" borderId="117" xfId="0" applyNumberFormat="1" applyFont="1" applyFill="1" applyBorder="1" applyAlignment="1">
      <alignment horizontal="center"/>
    </xf>
    <xf numFmtId="0" fontId="15" fillId="9" borderId="0" xfId="0" applyNumberFormat="1" applyFont="1" applyFill="1" applyBorder="1" applyAlignment="1">
      <alignment horizontal="right"/>
    </xf>
    <xf numFmtId="0" fontId="15" fillId="6" borderId="15" xfId="21" applyNumberFormat="1" applyFont="1" applyFill="1" applyBorder="1" applyAlignment="1">
      <alignment horizontal="right"/>
    </xf>
    <xf numFmtId="0" fontId="15" fillId="0" borderId="97" xfId="0" applyNumberFormat="1" applyFont="1" applyBorder="1"/>
    <xf numFmtId="0" fontId="15" fillId="0" borderId="72" xfId="0" applyNumberFormat="1" applyFont="1" applyBorder="1" applyAlignment="1">
      <alignment horizontal="left" wrapText="1"/>
    </xf>
    <xf numFmtId="0" fontId="15" fillId="0" borderId="72" xfId="0" applyNumberFormat="1" applyFont="1" applyBorder="1" applyAlignment="1">
      <alignment horizontal="right"/>
    </xf>
    <xf numFmtId="0" fontId="15" fillId="6" borderId="72" xfId="21" applyNumberFormat="1" applyFont="1" applyFill="1" applyBorder="1" applyAlignment="1">
      <alignment horizontal="right"/>
    </xf>
    <xf numFmtId="0" fontId="42" fillId="0" borderId="72" xfId="1" applyNumberFormat="1" applyFont="1" applyBorder="1" applyAlignment="1">
      <alignment horizontal="right"/>
    </xf>
    <xf numFmtId="0" fontId="15" fillId="9" borderId="33" xfId="0" applyNumberFormat="1" applyFont="1" applyFill="1" applyBorder="1"/>
    <xf numFmtId="0" fontId="15" fillId="9" borderId="31" xfId="0" applyNumberFormat="1" applyFont="1" applyFill="1" applyBorder="1"/>
    <xf numFmtId="0" fontId="15" fillId="0" borderId="33" xfId="0" applyNumberFormat="1" applyFont="1" applyBorder="1"/>
    <xf numFmtId="0" fontId="41" fillId="0" borderId="15" xfId="0" applyNumberFormat="1" applyFont="1" applyBorder="1" applyAlignment="1">
      <alignment horizontal="right"/>
    </xf>
    <xf numFmtId="0" fontId="41" fillId="11" borderId="15" xfId="0" applyNumberFormat="1" applyFont="1" applyFill="1" applyBorder="1" applyAlignment="1">
      <alignment horizontal="right"/>
    </xf>
    <xf numFmtId="0" fontId="15" fillId="0" borderId="31" xfId="0" applyNumberFormat="1" applyFont="1" applyBorder="1"/>
    <xf numFmtId="0" fontId="17" fillId="9" borderId="32" xfId="0" applyNumberFormat="1" applyFont="1" applyFill="1" applyBorder="1" applyAlignment="1"/>
    <xf numFmtId="0" fontId="17" fillId="9" borderId="32" xfId="0" applyNumberFormat="1" applyFont="1" applyFill="1" applyBorder="1" applyAlignment="1">
      <alignment horizontal="right"/>
    </xf>
    <xf numFmtId="0" fontId="17" fillId="0" borderId="15" xfId="0" quotePrefix="1" applyNumberFormat="1" applyFont="1" applyBorder="1" applyAlignment="1">
      <alignment horizontal="right"/>
    </xf>
    <xf numFmtId="0" fontId="17" fillId="9" borderId="15" xfId="1" applyNumberFormat="1" applyFont="1" applyFill="1" applyBorder="1"/>
    <xf numFmtId="0" fontId="15" fillId="0" borderId="32" xfId="0" applyNumberFormat="1" applyFont="1" applyBorder="1"/>
    <xf numFmtId="0" fontId="15" fillId="7" borderId="0" xfId="0" applyNumberFormat="1" applyFont="1" applyFill="1" applyAlignment="1">
      <alignment horizontal="right"/>
    </xf>
    <xf numFmtId="0" fontId="17" fillId="0" borderId="15" xfId="0" applyNumberFormat="1" applyFont="1" applyBorder="1" applyAlignment="1">
      <alignment vertical="top" wrapText="1"/>
    </xf>
    <xf numFmtId="0" fontId="17" fillId="7" borderId="15" xfId="1" applyNumberFormat="1" applyFont="1" applyFill="1" applyBorder="1"/>
    <xf numFmtId="0" fontId="17" fillId="13" borderId="15" xfId="1" applyNumberFormat="1" applyFont="1" applyFill="1" applyBorder="1" applyAlignment="1">
      <alignment horizontal="right"/>
    </xf>
    <xf numFmtId="0" fontId="15" fillId="7" borderId="0" xfId="1" applyNumberFormat="1" applyFont="1" applyFill="1" applyBorder="1" applyAlignment="1">
      <alignment horizontal="right"/>
    </xf>
    <xf numFmtId="0" fontId="46" fillId="7" borderId="0" xfId="0" applyNumberFormat="1" applyFont="1" applyFill="1" applyBorder="1" applyAlignment="1">
      <alignment horizontal="right"/>
    </xf>
    <xf numFmtId="0" fontId="45" fillId="7" borderId="0" xfId="0" applyNumberFormat="1" applyFont="1" applyFill="1" applyBorder="1" applyAlignment="1">
      <alignment horizontal="right"/>
    </xf>
    <xf numFmtId="0" fontId="15" fillId="7" borderId="0" xfId="0" applyNumberFormat="1" applyFont="1" applyFill="1" applyBorder="1" applyAlignment="1">
      <alignment horizontal="center" wrapText="1"/>
    </xf>
    <xf numFmtId="0" fontId="17" fillId="7" borderId="0" xfId="0" applyNumberFormat="1" applyFont="1" applyFill="1" applyBorder="1" applyAlignment="1">
      <alignment horizontal="right"/>
    </xf>
    <xf numFmtId="0" fontId="43" fillId="7" borderId="0" xfId="0" applyNumberFormat="1" applyFont="1" applyFill="1" applyBorder="1" applyAlignment="1">
      <alignment horizontal="right"/>
    </xf>
    <xf numFmtId="0" fontId="48" fillId="7" borderId="0" xfId="1" applyNumberFormat="1" applyFont="1" applyFill="1" applyBorder="1" applyAlignment="1"/>
    <xf numFmtId="0" fontId="42" fillId="7" borderId="15" xfId="0" applyNumberFormat="1" applyFont="1" applyFill="1" applyBorder="1" applyAlignment="1">
      <alignment horizontal="center"/>
    </xf>
    <xf numFmtId="0" fontId="42" fillId="7" borderId="15" xfId="0" applyNumberFormat="1" applyFont="1" applyFill="1" applyBorder="1" applyAlignment="1">
      <alignment horizontal="right"/>
    </xf>
    <xf numFmtId="0" fontId="45" fillId="0" borderId="33" xfId="1" applyNumberFormat="1" applyFont="1" applyBorder="1" applyAlignment="1">
      <alignment horizontal="right"/>
    </xf>
    <xf numFmtId="0" fontId="45" fillId="7" borderId="15" xfId="0" applyNumberFormat="1" applyFont="1" applyFill="1" applyBorder="1"/>
    <xf numFmtId="0" fontId="45" fillId="7" borderId="15" xfId="0" applyNumberFormat="1" applyFont="1" applyFill="1" applyBorder="1" applyAlignment="1">
      <alignment horizontal="center" wrapText="1"/>
    </xf>
    <xf numFmtId="0" fontId="15" fillId="7" borderId="15" xfId="0" applyNumberFormat="1" applyFont="1" applyFill="1" applyBorder="1" applyAlignment="1">
      <alignment horizontal="center" wrapText="1"/>
    </xf>
    <xf numFmtId="0" fontId="43" fillId="7" borderId="15" xfId="0" applyNumberFormat="1" applyFont="1" applyFill="1" applyBorder="1" applyAlignment="1">
      <alignment horizontal="right"/>
    </xf>
    <xf numFmtId="0" fontId="42" fillId="7" borderId="0" xfId="0" applyNumberFormat="1" applyFont="1" applyFill="1" applyBorder="1" applyAlignment="1">
      <alignment horizontal="right"/>
    </xf>
    <xf numFmtId="0" fontId="15" fillId="0" borderId="0" xfId="0" applyNumberFormat="1" applyFont="1" applyBorder="1" applyAlignment="1">
      <alignment horizontal="center" wrapText="1"/>
    </xf>
    <xf numFmtId="0" fontId="15" fillId="0" borderId="0" xfId="0" applyNumberFormat="1" applyFont="1" applyBorder="1" applyAlignment="1">
      <alignment horizontal="right"/>
    </xf>
    <xf numFmtId="0" fontId="17" fillId="0" borderId="0" xfId="0" applyNumberFormat="1" applyFont="1" applyBorder="1" applyAlignment="1">
      <alignment horizontal="right"/>
    </xf>
    <xf numFmtId="0" fontId="43" fillId="0" borderId="0" xfId="0" applyNumberFormat="1" applyFont="1" applyBorder="1" applyAlignment="1">
      <alignment horizontal="right"/>
    </xf>
    <xf numFmtId="0" fontId="45" fillId="0" borderId="0" xfId="1" applyNumberFormat="1" applyFont="1" applyBorder="1" applyAlignment="1">
      <alignment horizontal="right"/>
    </xf>
    <xf numFmtId="0" fontId="15" fillId="0" borderId="0" xfId="1" applyNumberFormat="1" applyFont="1" applyBorder="1" applyAlignment="1">
      <alignment horizontal="right"/>
    </xf>
    <xf numFmtId="0" fontId="46" fillId="0" borderId="0" xfId="0" applyNumberFormat="1" applyFont="1" applyBorder="1" applyAlignment="1">
      <alignment horizontal="right"/>
    </xf>
    <xf numFmtId="0" fontId="45" fillId="0" borderId="0" xfId="0" applyNumberFormat="1" applyFont="1" applyBorder="1" applyAlignment="1">
      <alignment horizontal="right"/>
    </xf>
    <xf numFmtId="0" fontId="48" fillId="0" borderId="0" xfId="1" applyNumberFormat="1" applyFont="1" applyBorder="1" applyAlignment="1"/>
    <xf numFmtId="0" fontId="48" fillId="0" borderId="31" xfId="1" applyNumberFormat="1" applyFont="1" applyBorder="1" applyAlignment="1"/>
    <xf numFmtId="0" fontId="3" fillId="16" borderId="118" xfId="9" applyFill="1" applyBorder="1"/>
    <xf numFmtId="0" fontId="3" fillId="16" borderId="119" xfId="9" applyFill="1" applyBorder="1"/>
    <xf numFmtId="0" fontId="3" fillId="0" borderId="0" xfId="9"/>
    <xf numFmtId="0" fontId="3" fillId="17" borderId="118" xfId="9" applyFill="1" applyBorder="1"/>
    <xf numFmtId="0" fontId="3" fillId="17" borderId="119" xfId="9" applyFill="1" applyBorder="1"/>
    <xf numFmtId="0" fontId="3" fillId="16" borderId="120" xfId="9" applyFill="1" applyBorder="1"/>
    <xf numFmtId="0" fontId="3" fillId="16" borderId="0" xfId="9" applyFill="1" applyBorder="1"/>
    <xf numFmtId="0" fontId="3" fillId="16" borderId="121" xfId="9" applyFill="1" applyBorder="1"/>
    <xf numFmtId="0" fontId="3" fillId="17" borderId="120" xfId="9" applyFill="1" applyBorder="1"/>
    <xf numFmtId="0" fontId="3" fillId="17" borderId="0" xfId="9" applyFill="1" applyBorder="1"/>
    <xf numFmtId="0" fontId="3" fillId="17" borderId="121" xfId="9" applyFill="1" applyBorder="1"/>
    <xf numFmtId="0" fontId="3" fillId="16" borderId="0" xfId="9" applyFill="1" applyBorder="1" applyAlignment="1">
      <alignment horizontal="right"/>
    </xf>
    <xf numFmtId="0" fontId="3" fillId="17" borderId="0" xfId="9" applyFill="1" applyBorder="1" applyAlignment="1">
      <alignment horizontal="right"/>
    </xf>
    <xf numFmtId="0" fontId="10" fillId="16" borderId="15" xfId="13" applyFont="1" applyFill="1" applyBorder="1" applyAlignment="1">
      <alignment horizontal="center"/>
    </xf>
    <xf numFmtId="0" fontId="10" fillId="17" borderId="15" xfId="13" applyFont="1" applyFill="1" applyBorder="1" applyAlignment="1">
      <alignment horizontal="center"/>
    </xf>
    <xf numFmtId="0" fontId="11" fillId="18" borderId="31" xfId="13" applyFont="1" applyFill="1" applyBorder="1"/>
    <xf numFmtId="0" fontId="3" fillId="16" borderId="122" xfId="9" applyFill="1" applyBorder="1"/>
    <xf numFmtId="0" fontId="3" fillId="16" borderId="123" xfId="9" applyFill="1" applyBorder="1"/>
    <xf numFmtId="0" fontId="3" fillId="16" borderId="124" xfId="9" applyFill="1" applyBorder="1"/>
    <xf numFmtId="0" fontId="3" fillId="17" borderId="122" xfId="9" applyFill="1" applyBorder="1"/>
    <xf numFmtId="14" fontId="13" fillId="0" borderId="15" xfId="0" quotePrefix="1" applyNumberFormat="1" applyFont="1" applyFill="1" applyBorder="1" applyAlignment="1">
      <alignment horizontal="center"/>
    </xf>
    <xf numFmtId="0" fontId="19" fillId="0" borderId="41" xfId="0" applyFont="1" applyFill="1" applyBorder="1" applyAlignment="1"/>
    <xf numFmtId="0" fontId="19" fillId="0" borderId="14" xfId="0" applyFont="1" applyFill="1" applyBorder="1" applyAlignment="1"/>
    <xf numFmtId="0" fontId="3" fillId="0" borderId="14" xfId="0" applyFont="1" applyFill="1" applyBorder="1"/>
    <xf numFmtId="0" fontId="3" fillId="0" borderId="14" xfId="0" applyFont="1" applyBorder="1"/>
    <xf numFmtId="0" fontId="6" fillId="2" borderId="14" xfId="0" applyFont="1" applyFill="1" applyBorder="1"/>
    <xf numFmtId="0" fontId="6" fillId="0" borderId="13" xfId="0" applyFont="1" applyBorder="1"/>
    <xf numFmtId="0" fontId="19" fillId="0" borderId="87" xfId="0" applyFont="1" applyFill="1" applyBorder="1" applyAlignment="1"/>
    <xf numFmtId="0" fontId="3" fillId="0" borderId="87" xfId="0" applyFont="1" applyBorder="1"/>
    <xf numFmtId="0" fontId="0" fillId="0" borderId="11" xfId="0" applyBorder="1"/>
    <xf numFmtId="0" fontId="3" fillId="0" borderId="11" xfId="0" applyFont="1" applyBorder="1"/>
    <xf numFmtId="0" fontId="3" fillId="0" borderId="125" xfId="0" applyFont="1" applyBorder="1"/>
    <xf numFmtId="0" fontId="3" fillId="0" borderId="126" xfId="0" applyFont="1" applyBorder="1"/>
    <xf numFmtId="0" fontId="11" fillId="0" borderId="81" xfId="0" applyFont="1" applyBorder="1" applyAlignment="1">
      <alignment horizontal="center"/>
    </xf>
    <xf numFmtId="0" fontId="11" fillId="4" borderId="72" xfId="0" applyFont="1" applyFill="1" applyBorder="1" applyAlignment="1">
      <alignment horizontal="centerContinuous"/>
    </xf>
    <xf numFmtId="0" fontId="8" fillId="2" borderId="27" xfId="0" applyFont="1" applyFill="1" applyBorder="1" applyAlignment="1">
      <alignment horizontal="center"/>
    </xf>
    <xf numFmtId="3" fontId="17" fillId="0" borderId="73" xfId="19" applyNumberFormat="1" applyFont="1" applyBorder="1" applyAlignment="1"/>
    <xf numFmtId="3" fontId="17" fillId="0" borderId="15" xfId="19" applyNumberFormat="1" applyFont="1" applyBorder="1" applyAlignment="1"/>
    <xf numFmtId="3" fontId="8" fillId="0" borderId="127" xfId="0" applyNumberFormat="1" applyFont="1" applyBorder="1" applyAlignment="1"/>
    <xf numFmtId="3" fontId="27" fillId="2" borderId="15" xfId="0" applyNumberFormat="1" applyFont="1" applyFill="1" applyBorder="1" applyAlignment="1"/>
    <xf numFmtId="3" fontId="27" fillId="2" borderId="116" xfId="0" applyNumberFormat="1" applyFont="1" applyFill="1" applyBorder="1" applyAlignment="1"/>
    <xf numFmtId="2" fontId="7" fillId="0" borderId="128" xfId="0" applyNumberFormat="1" applyFont="1" applyBorder="1"/>
    <xf numFmtId="166" fontId="7" fillId="0" borderId="128" xfId="0" applyNumberFormat="1" applyFont="1" applyBorder="1"/>
    <xf numFmtId="3" fontId="7" fillId="2" borderId="129" xfId="0" applyNumberFormat="1" applyFont="1" applyFill="1" applyBorder="1" applyAlignment="1"/>
    <xf numFmtId="2" fontId="7" fillId="0" borderId="130" xfId="0" applyNumberFormat="1" applyFont="1" applyBorder="1"/>
    <xf numFmtId="166" fontId="7" fillId="0" borderId="130" xfId="0" applyNumberFormat="1" applyFont="1" applyBorder="1"/>
    <xf numFmtId="3" fontId="7" fillId="2" borderId="131" xfId="0" applyNumberFormat="1" applyFont="1" applyFill="1" applyBorder="1" applyAlignment="1"/>
    <xf numFmtId="3" fontId="17" fillId="0" borderId="131" xfId="19" applyNumberFormat="1" applyFont="1" applyBorder="1" applyAlignment="1"/>
    <xf numFmtId="2" fontId="7" fillId="0" borderId="132" xfId="0" applyNumberFormat="1" applyFont="1" applyBorder="1"/>
    <xf numFmtId="166" fontId="7" fillId="0" borderId="132" xfId="0" applyNumberFormat="1" applyFont="1" applyBorder="1"/>
    <xf numFmtId="3" fontId="7" fillId="2" borderId="133" xfId="0" applyNumberFormat="1" applyFont="1" applyFill="1" applyBorder="1" applyAlignment="1"/>
    <xf numFmtId="167" fontId="7" fillId="0" borderId="128" xfId="0" applyNumberFormat="1" applyFont="1" applyBorder="1"/>
    <xf numFmtId="167" fontId="7" fillId="0" borderId="130" xfId="0" applyNumberFormat="1" applyFont="1" applyBorder="1"/>
    <xf numFmtId="166" fontId="32" fillId="0" borderId="132" xfId="0" applyNumberFormat="1" applyFont="1" applyBorder="1"/>
    <xf numFmtId="3" fontId="27" fillId="2" borderId="133" xfId="0" applyNumberFormat="1" applyFont="1" applyFill="1" applyBorder="1" applyAlignment="1"/>
    <xf numFmtId="0" fontId="6" fillId="2" borderId="111" xfId="0" applyFont="1" applyFill="1" applyBorder="1"/>
    <xf numFmtId="0" fontId="6" fillId="0" borderId="111" xfId="0" applyFont="1" applyBorder="1"/>
    <xf numFmtId="2" fontId="7" fillId="0" borderId="134" xfId="0" applyNumberFormat="1" applyFont="1" applyBorder="1"/>
    <xf numFmtId="0" fontId="7" fillId="0" borderId="135" xfId="0" applyFont="1" applyBorder="1"/>
    <xf numFmtId="2" fontId="7" fillId="0" borderId="136" xfId="0" applyNumberFormat="1" applyFont="1" applyBorder="1"/>
    <xf numFmtId="0" fontId="7" fillId="0" borderId="137" xfId="0" applyFont="1" applyBorder="1"/>
    <xf numFmtId="2" fontId="7" fillId="0" borderId="138" xfId="0" applyNumberFormat="1" applyFont="1" applyBorder="1"/>
    <xf numFmtId="0" fontId="7" fillId="0" borderId="139" xfId="0" applyFont="1" applyBorder="1"/>
    <xf numFmtId="167" fontId="7" fillId="0" borderId="134" xfId="0" applyNumberFormat="1" applyFont="1" applyBorder="1"/>
    <xf numFmtId="167" fontId="7" fillId="0" borderId="136" xfId="0" applyNumberFormat="1" applyFont="1" applyBorder="1"/>
    <xf numFmtId="167" fontId="7" fillId="0" borderId="138" xfId="0" applyNumberFormat="1" applyFont="1" applyBorder="1"/>
    <xf numFmtId="167" fontId="7" fillId="0" borderId="140" xfId="0" applyNumberFormat="1" applyFont="1" applyBorder="1"/>
    <xf numFmtId="167" fontId="7" fillId="0" borderId="135" xfId="0" applyNumberFormat="1" applyFont="1" applyBorder="1"/>
    <xf numFmtId="167" fontId="7" fillId="0" borderId="141" xfId="0" applyNumberFormat="1" applyFont="1" applyBorder="1"/>
    <xf numFmtId="167" fontId="7" fillId="0" borderId="137" xfId="0" applyNumberFormat="1" applyFont="1" applyBorder="1"/>
    <xf numFmtId="167" fontId="7" fillId="0" borderId="142" xfId="0" applyNumberFormat="1" applyFont="1" applyBorder="1"/>
    <xf numFmtId="167" fontId="7" fillId="0" borderId="139" xfId="0" applyNumberFormat="1" applyFont="1" applyBorder="1"/>
    <xf numFmtId="3" fontId="19" fillId="0" borderId="15" xfId="0" applyNumberFormat="1" applyFont="1" applyBorder="1"/>
    <xf numFmtId="3" fontId="19" fillId="0" borderId="88" xfId="0" applyNumberFormat="1" applyFont="1" applyBorder="1"/>
    <xf numFmtId="3" fontId="28" fillId="0" borderId="15" xfId="0" applyNumberFormat="1" applyFont="1" applyBorder="1"/>
    <xf numFmtId="3" fontId="28" fillId="0" borderId="88" xfId="0" applyNumberFormat="1" applyFont="1" applyBorder="1"/>
    <xf numFmtId="3" fontId="6" fillId="0" borderId="129" xfId="0" applyNumberFormat="1" applyFont="1" applyBorder="1"/>
    <xf numFmtId="3" fontId="6" fillId="0" borderId="143" xfId="0" applyNumberFormat="1" applyFont="1" applyBorder="1"/>
    <xf numFmtId="3" fontId="6" fillId="0" borderId="131" xfId="0" applyNumberFormat="1" applyFont="1" applyBorder="1"/>
    <xf numFmtId="3" fontId="6" fillId="0" borderId="144" xfId="0" applyNumberFormat="1" applyFont="1" applyBorder="1"/>
    <xf numFmtId="3" fontId="6" fillId="0" borderId="145" xfId="0" applyNumberFormat="1" applyFont="1" applyBorder="1"/>
    <xf numFmtId="3" fontId="28" fillId="0" borderId="16" xfId="0" applyNumberFormat="1" applyFont="1" applyBorder="1"/>
    <xf numFmtId="3" fontId="28" fillId="0" borderId="28" xfId="0" applyNumberFormat="1" applyFont="1" applyBorder="1"/>
    <xf numFmtId="3" fontId="28" fillId="0" borderId="127" xfId="0" applyNumberFormat="1" applyFont="1" applyBorder="1"/>
    <xf numFmtId="3" fontId="28" fillId="0" borderId="146" xfId="0" applyNumberFormat="1" applyFont="1" applyBorder="1"/>
    <xf numFmtId="3" fontId="19" fillId="0" borderId="100" xfId="0" applyNumberFormat="1" applyFont="1" applyBorder="1"/>
    <xf numFmtId="3" fontId="19" fillId="0" borderId="147" xfId="0" applyNumberFormat="1" applyFont="1" applyBorder="1"/>
    <xf numFmtId="3" fontId="19" fillId="0" borderId="41" xfId="0" applyNumberFormat="1" applyFont="1" applyBorder="1"/>
    <xf numFmtId="3" fontId="19" fillId="0" borderId="103" xfId="0" applyNumberFormat="1" applyFont="1" applyBorder="1"/>
    <xf numFmtId="3" fontId="28" fillId="0" borderId="31" xfId="0" applyNumberFormat="1" applyFont="1" applyBorder="1"/>
    <xf numFmtId="3" fontId="6" fillId="0" borderId="135" xfId="0" applyNumberFormat="1" applyFont="1" applyBorder="1"/>
    <xf numFmtId="3" fontId="6" fillId="0" borderId="137" xfId="0" applyNumberFormat="1" applyFont="1" applyBorder="1"/>
    <xf numFmtId="3" fontId="6" fillId="0" borderId="139" xfId="0" applyNumberFormat="1" applyFont="1" applyBorder="1"/>
    <xf numFmtId="3" fontId="27" fillId="0" borderId="31" xfId="0" applyNumberFormat="1" applyFont="1" applyBorder="1"/>
    <xf numFmtId="3" fontId="27" fillId="0" borderId="88" xfId="0" applyNumberFormat="1" applyFont="1" applyBorder="1"/>
    <xf numFmtId="3" fontId="28" fillId="0" borderId="108" xfId="0" applyNumberFormat="1" applyFont="1" applyBorder="1"/>
    <xf numFmtId="3" fontId="28" fillId="0" borderId="96" xfId="0" applyNumberFormat="1" applyFont="1" applyBorder="1"/>
    <xf numFmtId="0" fontId="11" fillId="0" borderId="88" xfId="0" applyFont="1" applyBorder="1" applyAlignment="1">
      <alignment horizontal="center"/>
    </xf>
    <xf numFmtId="0" fontId="11" fillId="0" borderId="148" xfId="0" applyFont="1" applyBorder="1" applyAlignment="1">
      <alignment horizontal="center"/>
    </xf>
    <xf numFmtId="0" fontId="11" fillId="2" borderId="149" xfId="0" applyFont="1" applyFill="1" applyBorder="1" applyAlignment="1">
      <alignment horizontal="center"/>
    </xf>
    <xf numFmtId="0" fontId="7" fillId="0" borderId="99" xfId="0" applyFont="1" applyBorder="1"/>
    <xf numFmtId="2" fontId="36" fillId="0" borderId="99" xfId="0" applyNumberFormat="1" applyFont="1" applyBorder="1"/>
    <xf numFmtId="0" fontId="36" fillId="0" borderId="99" xfId="0" applyFont="1" applyBorder="1"/>
    <xf numFmtId="0" fontId="3" fillId="0" borderId="150" xfId="17" applyBorder="1"/>
    <xf numFmtId="0" fontId="3" fillId="0" borderId="27" xfId="17" applyBorder="1"/>
    <xf numFmtId="0" fontId="37" fillId="0" borderId="128" xfId="0" applyFont="1" applyBorder="1"/>
    <xf numFmtId="0" fontId="37" fillId="0" borderId="130" xfId="0" applyFont="1" applyBorder="1"/>
    <xf numFmtId="0" fontId="37" fillId="0" borderId="132" xfId="0" applyFont="1" applyBorder="1"/>
    <xf numFmtId="167" fontId="37" fillId="0" borderId="128" xfId="0" applyNumberFormat="1" applyFont="1" applyBorder="1"/>
    <xf numFmtId="0" fontId="37" fillId="0" borderId="151" xfId="0" applyFont="1" applyBorder="1"/>
    <xf numFmtId="167" fontId="7" fillId="0" borderId="152" xfId="0" applyNumberFormat="1" applyFont="1" applyBorder="1"/>
    <xf numFmtId="3" fontId="32" fillId="0" borderId="153" xfId="0" applyNumberFormat="1" applyFont="1" applyBorder="1" applyAlignment="1"/>
    <xf numFmtId="3" fontId="32" fillId="0" borderId="154" xfId="0" applyNumberFormat="1" applyFont="1" applyBorder="1" applyAlignment="1"/>
    <xf numFmtId="3" fontId="27" fillId="0" borderId="16" xfId="0" applyNumberFormat="1" applyFont="1" applyBorder="1" applyAlignment="1"/>
    <xf numFmtId="3" fontId="27" fillId="0" borderId="28" xfId="0" applyNumberFormat="1" applyFont="1" applyBorder="1" applyAlignment="1"/>
    <xf numFmtId="3" fontId="7" fillId="0" borderId="129" xfId="0" applyNumberFormat="1" applyFont="1" applyBorder="1" applyAlignment="1"/>
    <xf numFmtId="3" fontId="7" fillId="0" borderId="143" xfId="0" applyNumberFormat="1" applyFont="1" applyBorder="1" applyAlignment="1"/>
    <xf numFmtId="3" fontId="7" fillId="0" borderId="131" xfId="0" applyNumberFormat="1" applyFont="1" applyBorder="1" applyAlignment="1"/>
    <xf numFmtId="3" fontId="7" fillId="0" borderId="144" xfId="0" applyNumberFormat="1" applyFont="1" applyBorder="1" applyAlignment="1"/>
    <xf numFmtId="3" fontId="7" fillId="0" borderId="133" xfId="0" applyNumberFormat="1" applyFont="1" applyBorder="1" applyAlignment="1"/>
    <xf numFmtId="3" fontId="7" fillId="0" borderId="145" xfId="0" applyNumberFormat="1" applyFont="1" applyBorder="1" applyAlignment="1"/>
    <xf numFmtId="3" fontId="7" fillId="0" borderId="155" xfId="0" applyNumberFormat="1" applyFont="1" applyBorder="1" applyAlignment="1"/>
    <xf numFmtId="3" fontId="8" fillId="0" borderId="95" xfId="0" applyNumberFormat="1" applyFont="1" applyBorder="1" applyAlignment="1"/>
    <xf numFmtId="3" fontId="8" fillId="0" borderId="96" xfId="0" applyNumberFormat="1" applyFont="1" applyBorder="1" applyAlignment="1"/>
    <xf numFmtId="0" fontId="16" fillId="0" borderId="0" xfId="11" applyFont="1" applyBorder="1"/>
    <xf numFmtId="0" fontId="8" fillId="2" borderId="21" xfId="0" applyFont="1" applyFill="1" applyBorder="1" applyAlignment="1">
      <alignment horizontal="left"/>
    </xf>
    <xf numFmtId="0" fontId="3" fillId="0" borderId="21" xfId="17" applyBorder="1"/>
    <xf numFmtId="0" fontId="58" fillId="0" borderId="0" xfId="11" applyFont="1" applyBorder="1" applyAlignment="1"/>
    <xf numFmtId="0" fontId="59" fillId="0" borderId="0" xfId="11" applyFont="1" applyBorder="1"/>
    <xf numFmtId="0" fontId="59" fillId="0" borderId="0" xfId="18" applyFont="1" applyBorder="1"/>
    <xf numFmtId="2" fontId="14" fillId="0" borderId="156" xfId="14" applyNumberFormat="1" applyFont="1" applyBorder="1" applyAlignment="1">
      <alignment horizontal="center" wrapText="1"/>
    </xf>
    <xf numFmtId="2" fontId="14" fillId="0" borderId="157" xfId="14" applyNumberFormat="1" applyFont="1" applyBorder="1" applyAlignment="1">
      <alignment horizontal="center" wrapText="1"/>
    </xf>
    <xf numFmtId="0" fontId="3" fillId="0" borderId="31" xfId="9" applyFont="1" applyFill="1" applyBorder="1" applyAlignment="1"/>
    <xf numFmtId="0" fontId="3" fillId="0" borderId="158" xfId="9" applyFill="1" applyBorder="1"/>
    <xf numFmtId="0" fontId="11" fillId="17" borderId="0" xfId="13" applyFont="1" applyFill="1" applyBorder="1"/>
    <xf numFmtId="0" fontId="11" fillId="17" borderId="121" xfId="13" applyFont="1" applyFill="1" applyBorder="1"/>
    <xf numFmtId="0" fontId="11" fillId="17" borderId="123" xfId="13" applyFont="1" applyFill="1" applyBorder="1"/>
    <xf numFmtId="0" fontId="11" fillId="17" borderId="124" xfId="13" applyFont="1" applyFill="1" applyBorder="1"/>
    <xf numFmtId="0" fontId="3" fillId="0" borderId="121" xfId="9" applyFill="1" applyBorder="1"/>
    <xf numFmtId="0" fontId="3" fillId="6" borderId="32" xfId="9" applyFill="1" applyBorder="1" applyAlignment="1">
      <alignment horizontal="center"/>
    </xf>
    <xf numFmtId="0" fontId="3" fillId="0" borderId="32" xfId="9" applyFont="1" applyFill="1" applyBorder="1" applyAlignment="1"/>
    <xf numFmtId="0" fontId="3" fillId="0" borderId="159" xfId="9" applyBorder="1"/>
    <xf numFmtId="3" fontId="11" fillId="0" borderId="72" xfId="0" applyNumberFormat="1" applyFont="1" applyFill="1" applyBorder="1" applyAlignment="1">
      <alignment horizontal="center"/>
    </xf>
    <xf numFmtId="3" fontId="11" fillId="0" borderId="72" xfId="0" applyNumberFormat="1" applyFont="1" applyFill="1" applyBorder="1" applyAlignment="1">
      <alignment horizontal="centerContinuous"/>
    </xf>
    <xf numFmtId="0" fontId="6" fillId="0" borderId="31" xfId="17" applyFont="1" applyBorder="1" applyAlignment="1">
      <alignment horizontal="center"/>
    </xf>
    <xf numFmtId="0" fontId="6" fillId="0" borderId="32" xfId="17" applyFont="1" applyBorder="1" applyAlignment="1">
      <alignment horizontal="center"/>
    </xf>
    <xf numFmtId="0" fontId="3" fillId="0" borderId="33" xfId="17" applyBorder="1"/>
    <xf numFmtId="0" fontId="3" fillId="0" borderId="32" xfId="16" applyBorder="1"/>
    <xf numFmtId="0" fontId="3" fillId="0" borderId="31" xfId="15" applyFont="1" applyBorder="1"/>
    <xf numFmtId="0" fontId="3" fillId="0" borderId="32" xfId="15" applyFont="1" applyBorder="1"/>
    <xf numFmtId="0" fontId="72" fillId="0" borderId="164" xfId="10" applyFont="1" applyFill="1" applyBorder="1" applyAlignment="1">
      <alignment horizontal="center"/>
    </xf>
    <xf numFmtId="0" fontId="16" fillId="0" borderId="0" xfId="9" applyFont="1"/>
    <xf numFmtId="0" fontId="60" fillId="0" borderId="0" xfId="10" applyFont="1" applyFill="1" applyAlignment="1"/>
    <xf numFmtId="0" fontId="72" fillId="0" borderId="29" xfId="10" applyFont="1" applyFill="1" applyBorder="1" applyAlignment="1">
      <alignment horizontal="center"/>
    </xf>
    <xf numFmtId="0" fontId="61" fillId="20" borderId="81" xfId="13" applyFont="1" applyFill="1" applyBorder="1" applyAlignment="1">
      <alignment horizontal="center"/>
    </xf>
    <xf numFmtId="0" fontId="61" fillId="20" borderId="74" xfId="13" applyFont="1" applyFill="1" applyBorder="1" applyAlignment="1">
      <alignment horizontal="centerContinuous"/>
    </xf>
    <xf numFmtId="0" fontId="61" fillId="20" borderId="29" xfId="13" applyFont="1" applyFill="1" applyBorder="1" applyAlignment="1">
      <alignment horizontal="centerContinuous"/>
    </xf>
    <xf numFmtId="0" fontId="61" fillId="20" borderId="30" xfId="13" applyFont="1" applyFill="1" applyBorder="1" applyAlignment="1">
      <alignment horizontal="centerContinuous"/>
    </xf>
    <xf numFmtId="0" fontId="12" fillId="20" borderId="16" xfId="13" applyFont="1" applyFill="1" applyBorder="1"/>
    <xf numFmtId="0" fontId="12" fillId="20" borderId="15" xfId="13" applyFont="1" applyFill="1" applyBorder="1"/>
    <xf numFmtId="9" fontId="63" fillId="0" borderId="15" xfId="10" applyNumberFormat="1" applyFont="1" applyFill="1" applyBorder="1"/>
    <xf numFmtId="1" fontId="64" fillId="0" borderId="15" xfId="13" applyNumberFormat="1" applyFont="1" applyFill="1" applyBorder="1"/>
    <xf numFmtId="1" fontId="64" fillId="20" borderId="15" xfId="13" applyNumberFormat="1" applyFont="1" applyFill="1" applyBorder="1"/>
    <xf numFmtId="1" fontId="65" fillId="20" borderId="15" xfId="13" applyNumberFormat="1" applyFont="1" applyFill="1" applyBorder="1"/>
    <xf numFmtId="1" fontId="64" fillId="19" borderId="15" xfId="13" applyNumberFormat="1" applyFont="1" applyFill="1" applyBorder="1" applyAlignment="1">
      <alignment horizontal="center" vertical="justify"/>
    </xf>
    <xf numFmtId="0" fontId="30" fillId="20" borderId="15" xfId="13" applyFont="1" applyFill="1" applyBorder="1" applyAlignment="1">
      <alignment horizontal="right"/>
    </xf>
    <xf numFmtId="1" fontId="66" fillId="0" borderId="15" xfId="13" applyNumberFormat="1" applyFont="1" applyFill="1" applyBorder="1"/>
    <xf numFmtId="1" fontId="64" fillId="0" borderId="15" xfId="13" applyNumberFormat="1" applyFont="1" applyFill="1" applyBorder="1" applyProtection="1"/>
    <xf numFmtId="1" fontId="66" fillId="0" borderId="15" xfId="13" applyNumberFormat="1" applyFont="1" applyFill="1" applyBorder="1" applyProtection="1"/>
    <xf numFmtId="0" fontId="12" fillId="21" borderId="15" xfId="13" applyFont="1" applyFill="1" applyBorder="1" applyAlignment="1">
      <alignment horizontal="right"/>
    </xf>
    <xf numFmtId="9" fontId="12" fillId="21" borderId="15" xfId="13" applyNumberFormat="1" applyFont="1" applyFill="1" applyBorder="1" applyAlignment="1">
      <alignment horizontal="right"/>
    </xf>
    <xf numFmtId="1" fontId="64" fillId="21" borderId="15" xfId="13" applyNumberFormat="1" applyFont="1" applyFill="1" applyBorder="1"/>
    <xf numFmtId="1" fontId="65" fillId="21" borderId="15" xfId="13" applyNumberFormat="1" applyFont="1" applyFill="1" applyBorder="1"/>
    <xf numFmtId="1" fontId="66" fillId="21" borderId="15" xfId="13" applyNumberFormat="1" applyFont="1" applyFill="1" applyBorder="1"/>
    <xf numFmtId="1" fontId="67" fillId="21" borderId="15" xfId="13" applyNumberFormat="1" applyFont="1" applyFill="1" applyBorder="1"/>
    <xf numFmtId="1" fontId="3" fillId="0" borderId="0" xfId="9" applyNumberFormat="1"/>
    <xf numFmtId="0" fontId="12" fillId="19" borderId="15" xfId="13" applyFont="1" applyFill="1" applyBorder="1"/>
    <xf numFmtId="9" fontId="12" fillId="0" borderId="15" xfId="13" applyNumberFormat="1" applyFont="1" applyFill="1" applyBorder="1"/>
    <xf numFmtId="9" fontId="30" fillId="0" borderId="15" xfId="13" applyNumberFormat="1" applyFont="1" applyFill="1" applyBorder="1" applyAlignment="1">
      <alignment horizontal="right"/>
    </xf>
    <xf numFmtId="1" fontId="12" fillId="19" borderId="15" xfId="13" applyNumberFormat="1" applyFont="1" applyFill="1" applyBorder="1"/>
    <xf numFmtId="1" fontId="64" fillId="19" borderId="15" xfId="13" applyNumberFormat="1" applyFont="1" applyFill="1" applyBorder="1"/>
    <xf numFmtId="1" fontId="65" fillId="19" borderId="15" xfId="13" applyNumberFormat="1" applyFont="1" applyFill="1" applyBorder="1"/>
    <xf numFmtId="1" fontId="30" fillId="19" borderId="15" xfId="13" applyNumberFormat="1" applyFont="1" applyFill="1" applyBorder="1" applyAlignment="1">
      <alignment horizontal="right"/>
    </xf>
    <xf numFmtId="9" fontId="6" fillId="0" borderId="15" xfId="13" applyNumberFormat="1" applyFont="1" applyFill="1" applyBorder="1"/>
    <xf numFmtId="0" fontId="6" fillId="0" borderId="0" xfId="10" applyFont="1" applyFill="1" applyBorder="1"/>
    <xf numFmtId="0" fontId="3" fillId="0" borderId="0" xfId="9" applyFill="1"/>
    <xf numFmtId="0" fontId="3" fillId="0" borderId="31" xfId="10" applyFont="1" applyFill="1" applyBorder="1"/>
    <xf numFmtId="0" fontId="3" fillId="0" borderId="33" xfId="9" applyFill="1" applyBorder="1"/>
    <xf numFmtId="0" fontId="10" fillId="0" borderId="15" xfId="10" applyFont="1" applyFill="1" applyBorder="1" applyAlignment="1">
      <alignment horizontal="center"/>
    </xf>
    <xf numFmtId="0" fontId="10" fillId="0" borderId="31" xfId="10" applyFont="1" applyFill="1" applyBorder="1" applyAlignment="1"/>
    <xf numFmtId="0" fontId="10" fillId="0" borderId="32" xfId="10" applyFont="1" applyFill="1" applyBorder="1" applyAlignment="1"/>
    <xf numFmtId="0" fontId="11" fillId="0" borderId="0" xfId="10" applyFont="1" applyFill="1" applyBorder="1" applyAlignment="1">
      <alignment horizontal="left"/>
    </xf>
    <xf numFmtId="0" fontId="9" fillId="0" borderId="0" xfId="10" applyFont="1" applyFill="1" applyBorder="1" applyAlignment="1">
      <alignment horizontal="centerContinuous"/>
    </xf>
    <xf numFmtId="0" fontId="11" fillId="0" borderId="31" xfId="10" applyFont="1" applyFill="1" applyBorder="1"/>
    <xf numFmtId="0" fontId="3" fillId="0" borderId="33" xfId="10" applyFont="1" applyFill="1" applyBorder="1"/>
    <xf numFmtId="0" fontId="3" fillId="0" borderId="32" xfId="9" applyFill="1" applyBorder="1"/>
    <xf numFmtId="0" fontId="69" fillId="0" borderId="0" xfId="10" applyFont="1" applyFill="1" applyBorder="1" applyAlignment="1">
      <alignment horizontal="left"/>
    </xf>
    <xf numFmtId="0" fontId="69" fillId="0" borderId="0" xfId="10" applyFont="1" applyFill="1" applyBorder="1" applyAlignment="1"/>
    <xf numFmtId="0" fontId="8" fillId="0" borderId="0" xfId="10" applyFont="1" applyFill="1" applyBorder="1" applyAlignment="1">
      <alignment horizontal="left"/>
    </xf>
    <xf numFmtId="0" fontId="8" fillId="0" borderId="0" xfId="10" applyFont="1" applyFill="1"/>
    <xf numFmtId="0" fontId="6" fillId="0" borderId="0" xfId="10" applyFont="1" applyFill="1"/>
    <xf numFmtId="0" fontId="11" fillId="0" borderId="72" xfId="10" applyFont="1" applyFill="1" applyBorder="1" applyAlignment="1">
      <alignment vertical="justify"/>
    </xf>
    <xf numFmtId="0" fontId="9" fillId="0" borderId="0" xfId="10" applyFont="1" applyFill="1" applyBorder="1"/>
    <xf numFmtId="0" fontId="11" fillId="0" borderId="81" xfId="10" applyFont="1" applyFill="1" applyBorder="1" applyAlignment="1">
      <alignment horizontal="center"/>
    </xf>
    <xf numFmtId="0" fontId="11" fillId="0" borderId="87" xfId="10" applyFont="1" applyFill="1" applyBorder="1" applyAlignment="1">
      <alignment horizontal="center"/>
    </xf>
    <xf numFmtId="0" fontId="11" fillId="0" borderId="74" xfId="10" applyFont="1" applyFill="1" applyBorder="1" applyAlignment="1">
      <alignment horizontal="centerContinuous"/>
    </xf>
    <xf numFmtId="0" fontId="11" fillId="0" borderId="29" xfId="10" applyFont="1" applyFill="1" applyBorder="1" applyAlignment="1">
      <alignment horizontal="centerContinuous"/>
    </xf>
    <xf numFmtId="0" fontId="11" fillId="0" borderId="30" xfId="10" applyFont="1" applyFill="1" applyBorder="1" applyAlignment="1">
      <alignment horizontal="centerContinuous"/>
    </xf>
    <xf numFmtId="0" fontId="11" fillId="0" borderId="81" xfId="10" applyFont="1" applyFill="1" applyBorder="1" applyAlignment="1">
      <alignment vertical="justify"/>
    </xf>
    <xf numFmtId="0" fontId="11" fillId="0" borderId="86" xfId="10" applyFont="1" applyFill="1" applyBorder="1" applyAlignment="1">
      <alignment vertical="justify"/>
    </xf>
    <xf numFmtId="0" fontId="11" fillId="0" borderId="0" xfId="10" applyFont="1" applyFill="1" applyBorder="1" applyAlignment="1">
      <alignment horizontal="centerContinuous"/>
    </xf>
    <xf numFmtId="0" fontId="72" fillId="0" borderId="49" xfId="10" applyFont="1" applyFill="1" applyBorder="1" applyAlignment="1">
      <alignment horizontal="center"/>
    </xf>
    <xf numFmtId="0" fontId="11" fillId="0" borderId="31" xfId="10" applyFont="1" applyFill="1" applyBorder="1" applyAlignment="1">
      <alignment horizontal="center"/>
    </xf>
    <xf numFmtId="0" fontId="11" fillId="0" borderId="33" xfId="10" applyFont="1" applyFill="1" applyBorder="1" applyAlignment="1">
      <alignment horizontal="center"/>
    </xf>
    <xf numFmtId="0" fontId="72" fillId="0" borderId="165" xfId="10" applyFont="1" applyFill="1" applyBorder="1" applyAlignment="1">
      <alignment horizontal="center"/>
    </xf>
    <xf numFmtId="0" fontId="72" fillId="0" borderId="14" xfId="10" applyFont="1" applyFill="1" applyBorder="1" applyAlignment="1">
      <alignment horizontal="center"/>
    </xf>
    <xf numFmtId="0" fontId="72" fillId="0" borderId="166" xfId="10" applyFont="1" applyFill="1" applyBorder="1" applyAlignment="1">
      <alignment horizontal="center"/>
    </xf>
    <xf numFmtId="0" fontId="11" fillId="0" borderId="16" xfId="10" applyFont="1" applyFill="1" applyBorder="1" applyAlignment="1">
      <alignment horizontal="center"/>
    </xf>
    <xf numFmtId="0" fontId="11" fillId="0" borderId="0" xfId="10" applyFont="1" applyFill="1" applyBorder="1" applyAlignment="1">
      <alignment horizontal="center"/>
    </xf>
    <xf numFmtId="0" fontId="11" fillId="0" borderId="167" xfId="10" applyFont="1" applyFill="1" applyBorder="1" applyAlignment="1">
      <alignment horizontal="left"/>
    </xf>
    <xf numFmtId="0" fontId="11" fillId="0" borderId="15" xfId="10" applyFont="1" applyFill="1" applyBorder="1" applyAlignment="1">
      <alignment horizontal="center"/>
    </xf>
    <xf numFmtId="0" fontId="11" fillId="0" borderId="32" xfId="10" applyFont="1" applyFill="1" applyBorder="1" applyAlignment="1">
      <alignment horizontal="center"/>
    </xf>
    <xf numFmtId="0" fontId="11" fillId="0" borderId="168" xfId="10" applyFont="1" applyFill="1" applyBorder="1" applyAlignment="1">
      <alignment horizontal="center"/>
    </xf>
    <xf numFmtId="0" fontId="11" fillId="0" borderId="169" xfId="10" applyFont="1" applyFill="1" applyBorder="1" applyAlignment="1">
      <alignment horizontal="center"/>
    </xf>
    <xf numFmtId="0" fontId="11" fillId="0" borderId="170" xfId="10" applyFont="1" applyFill="1" applyBorder="1" applyAlignment="1">
      <alignment horizontal="center"/>
    </xf>
    <xf numFmtId="0" fontId="11" fillId="0" borderId="171" xfId="10" applyFont="1" applyFill="1" applyBorder="1" applyAlignment="1">
      <alignment horizontal="center"/>
    </xf>
    <xf numFmtId="0" fontId="11" fillId="0" borderId="172" xfId="10" applyFont="1" applyFill="1" applyBorder="1" applyAlignment="1">
      <alignment horizontal="center"/>
    </xf>
    <xf numFmtId="0" fontId="73" fillId="0" borderId="153" xfId="10" applyFont="1" applyFill="1" applyBorder="1"/>
    <xf numFmtId="9" fontId="73" fillId="0" borderId="153" xfId="10" applyNumberFormat="1" applyFont="1" applyFill="1" applyBorder="1"/>
    <xf numFmtId="1" fontId="6" fillId="0" borderId="0" xfId="10" applyNumberFormat="1" applyFont="1" applyFill="1" applyBorder="1"/>
    <xf numFmtId="0" fontId="73" fillId="0" borderId="15" xfId="10" applyFont="1" applyFill="1" applyBorder="1"/>
    <xf numFmtId="9" fontId="73" fillId="0" borderId="15" xfId="10" applyNumberFormat="1" applyFont="1" applyFill="1" applyBorder="1"/>
    <xf numFmtId="1" fontId="73" fillId="0" borderId="15" xfId="10" applyNumberFormat="1" applyFont="1" applyFill="1" applyBorder="1"/>
    <xf numFmtId="1" fontId="3" fillId="0" borderId="0" xfId="10" applyNumberFormat="1" applyFill="1" applyBorder="1"/>
    <xf numFmtId="0" fontId="7" fillId="0" borderId="15" xfId="10" applyFont="1" applyFill="1" applyBorder="1"/>
    <xf numFmtId="1" fontId="6" fillId="0" borderId="0" xfId="13" applyNumberFormat="1" applyFont="1" applyFill="1"/>
    <xf numFmtId="0" fontId="74" fillId="0" borderId="0" xfId="13" applyFont="1" applyFill="1" applyAlignment="1">
      <alignment horizontal="center"/>
    </xf>
    <xf numFmtId="1" fontId="3" fillId="0" borderId="0" xfId="9" applyNumberFormat="1" applyFill="1"/>
    <xf numFmtId="14" fontId="13" fillId="0" borderId="15" xfId="0" quotePrefix="1" applyNumberFormat="1" applyFont="1" applyFill="1" applyBorder="1" applyAlignment="1"/>
    <xf numFmtId="0" fontId="11" fillId="0" borderId="14" xfId="10" applyFont="1" applyFill="1" applyBorder="1"/>
    <xf numFmtId="0" fontId="3" fillId="0" borderId="14" xfId="10" applyFont="1" applyFill="1" applyBorder="1"/>
    <xf numFmtId="14" fontId="0" fillId="0" borderId="14" xfId="0" quotePrefix="1" applyNumberFormat="1" applyFill="1" applyBorder="1" applyAlignment="1">
      <alignment horizontal="center"/>
    </xf>
    <xf numFmtId="14" fontId="0" fillId="0" borderId="14" xfId="0" quotePrefix="1" applyNumberFormat="1" applyFill="1" applyBorder="1" applyAlignment="1"/>
    <xf numFmtId="0" fontId="70" fillId="0" borderId="14" xfId="9" applyFont="1" applyFill="1" applyBorder="1" applyAlignment="1">
      <alignment horizontal="center"/>
    </xf>
    <xf numFmtId="0" fontId="3" fillId="0" borderId="15" xfId="9" applyFill="1" applyBorder="1" applyAlignment="1">
      <alignment horizontal="center"/>
    </xf>
    <xf numFmtId="0" fontId="17" fillId="11" borderId="99" xfId="0" applyNumberFormat="1" applyFont="1" applyFill="1" applyBorder="1" applyAlignment="1">
      <alignment horizontal="right"/>
    </xf>
    <xf numFmtId="0" fontId="17" fillId="11" borderId="15" xfId="0" applyNumberFormat="1" applyFont="1" applyFill="1" applyBorder="1" applyAlignment="1">
      <alignment vertical="top" wrapText="1"/>
    </xf>
    <xf numFmtId="0" fontId="17" fillId="11" borderId="15" xfId="0" applyNumberFormat="1" applyFont="1" applyFill="1" applyBorder="1" applyAlignment="1">
      <alignment horizontal="right" vertical="top" wrapText="1"/>
    </xf>
    <xf numFmtId="0" fontId="48" fillId="11" borderId="15" xfId="1" applyNumberFormat="1" applyFont="1" applyFill="1" applyBorder="1" applyAlignment="1">
      <alignment horizontal="right" vertical="top" wrapText="1"/>
    </xf>
    <xf numFmtId="0" fontId="43" fillId="11" borderId="15" xfId="1" applyNumberFormat="1" applyFont="1" applyFill="1" applyBorder="1" applyAlignment="1">
      <alignment horizontal="right" vertical="top" wrapText="1"/>
    </xf>
    <xf numFmtId="0" fontId="42" fillId="11" borderId="15" xfId="1" applyNumberFormat="1" applyFont="1" applyFill="1" applyBorder="1" applyAlignment="1">
      <alignment horizontal="right" vertical="top" wrapText="1"/>
    </xf>
    <xf numFmtId="0" fontId="15" fillId="11" borderId="15" xfId="1" applyNumberFormat="1" applyFont="1" applyFill="1" applyBorder="1" applyAlignment="1">
      <alignment horizontal="right"/>
    </xf>
    <xf numFmtId="0" fontId="46" fillId="11" borderId="15" xfId="1" applyNumberFormat="1" applyFont="1" applyFill="1" applyBorder="1" applyAlignment="1">
      <alignment horizontal="right"/>
    </xf>
    <xf numFmtId="0" fontId="45" fillId="11" borderId="15" xfId="1" applyNumberFormat="1" applyFont="1" applyFill="1" applyBorder="1" applyAlignment="1">
      <alignment horizontal="right"/>
    </xf>
    <xf numFmtId="0" fontId="15" fillId="11" borderId="99" xfId="0" applyNumberFormat="1" applyFont="1" applyFill="1" applyBorder="1" applyAlignment="1">
      <alignment horizontal="right"/>
    </xf>
    <xf numFmtId="0" fontId="17" fillId="11" borderId="15" xfId="0" applyNumberFormat="1" applyFont="1" applyFill="1" applyBorder="1" applyAlignment="1">
      <alignment horizontal="right" wrapText="1"/>
    </xf>
    <xf numFmtId="0" fontId="17" fillId="11" borderId="88" xfId="0" applyNumberFormat="1" applyFont="1" applyFill="1" applyBorder="1" applyAlignment="1">
      <alignment horizontal="right" wrapText="1"/>
    </xf>
    <xf numFmtId="0" fontId="48" fillId="11" borderId="15" xfId="21" applyNumberFormat="1" applyFont="1" applyFill="1" applyBorder="1" applyAlignment="1">
      <alignment horizontal="right" vertical="top" wrapText="1"/>
    </xf>
    <xf numFmtId="0" fontId="42" fillId="11" borderId="88" xfId="1" applyNumberFormat="1" applyFont="1" applyFill="1" applyBorder="1" applyAlignment="1">
      <alignment horizontal="right"/>
    </xf>
    <xf numFmtId="3" fontId="0" fillId="0" borderId="0" xfId="0" applyNumberFormat="1"/>
    <xf numFmtId="1" fontId="60" fillId="0" borderId="0" xfId="13" applyNumberFormat="1" applyFont="1" applyFill="1" applyAlignment="1">
      <alignment horizontal="center"/>
    </xf>
    <xf numFmtId="3" fontId="6" fillId="0" borderId="15" xfId="0" applyNumberFormat="1" applyFont="1" applyFill="1" applyBorder="1"/>
    <xf numFmtId="3" fontId="3" fillId="0" borderId="0" xfId="9" applyNumberFormat="1" applyFill="1"/>
    <xf numFmtId="0" fontId="43" fillId="0" borderId="15" xfId="0" applyNumberFormat="1" applyFont="1" applyFill="1" applyBorder="1" applyAlignment="1">
      <alignment horizontal="right"/>
    </xf>
    <xf numFmtId="0" fontId="42" fillId="0" borderId="15" xfId="0" applyNumberFormat="1" applyFont="1" applyFill="1" applyBorder="1" applyAlignment="1">
      <alignment horizontal="right"/>
    </xf>
    <xf numFmtId="0" fontId="44" fillId="0" borderId="15" xfId="1" applyNumberFormat="1" applyFont="1" applyFill="1" applyBorder="1" applyAlignment="1">
      <alignment horizontal="right"/>
    </xf>
    <xf numFmtId="0" fontId="17" fillId="11" borderId="99" xfId="0" applyNumberFormat="1" applyFont="1" applyFill="1" applyBorder="1" applyAlignment="1">
      <alignment horizontal="center"/>
    </xf>
    <xf numFmtId="3" fontId="40" fillId="22" borderId="162" xfId="0" applyNumberFormat="1" applyFont="1" applyFill="1" applyBorder="1"/>
    <xf numFmtId="0" fontId="17" fillId="11" borderId="15" xfId="1" applyNumberFormat="1" applyFont="1" applyFill="1" applyBorder="1" applyAlignment="1">
      <alignment horizontal="right"/>
    </xf>
    <xf numFmtId="0" fontId="43" fillId="11" borderId="15" xfId="1" applyNumberFormat="1" applyFont="1" applyFill="1" applyBorder="1" applyAlignment="1">
      <alignment horizontal="right"/>
    </xf>
    <xf numFmtId="0" fontId="42" fillId="11" borderId="15" xfId="1" applyNumberFormat="1" applyFont="1" applyFill="1" applyBorder="1" applyAlignment="1">
      <alignment horizontal="right"/>
    </xf>
    <xf numFmtId="0" fontId="57" fillId="0" borderId="15" xfId="0" applyFont="1" applyFill="1" applyBorder="1"/>
    <xf numFmtId="3" fontId="57" fillId="0" borderId="15" xfId="0" applyNumberFormat="1" applyFont="1" applyFill="1" applyBorder="1" applyAlignment="1"/>
    <xf numFmtId="3" fontId="15" fillId="0" borderId="177" xfId="19" applyNumberFormat="1" applyFont="1" applyBorder="1"/>
    <xf numFmtId="3" fontId="15" fillId="0" borderId="178" xfId="19" applyNumberFormat="1" applyFont="1" applyBorder="1"/>
    <xf numFmtId="3" fontId="15" fillId="0" borderId="179" xfId="19" applyNumberFormat="1" applyFont="1" applyBorder="1"/>
    <xf numFmtId="3" fontId="15" fillId="0" borderId="180" xfId="19" applyNumberFormat="1" applyFont="1" applyBorder="1"/>
    <xf numFmtId="3" fontId="15" fillId="0" borderId="181" xfId="19" applyNumberFormat="1" applyFont="1" applyBorder="1"/>
    <xf numFmtId="1" fontId="13" fillId="0" borderId="182" xfId="14" applyNumberFormat="1" applyFont="1" applyBorder="1" applyAlignment="1">
      <alignment horizontal="center"/>
    </xf>
    <xf numFmtId="1" fontId="15" fillId="0" borderId="80" xfId="14" applyNumberFormat="1" applyFont="1" applyBorder="1" applyAlignment="1">
      <alignment horizontal="center"/>
    </xf>
    <xf numFmtId="1" fontId="15" fillId="0" borderId="80" xfId="14" applyNumberFormat="1" applyFont="1" applyBorder="1" applyAlignment="1">
      <alignment horizontal="center" wrapText="1"/>
    </xf>
    <xf numFmtId="1" fontId="15" fillId="0" borderId="80" xfId="14" applyNumberFormat="1" applyFont="1" applyBorder="1" applyAlignment="1">
      <alignment wrapText="1"/>
    </xf>
    <xf numFmtId="1" fontId="15" fillId="0" borderId="80" xfId="14" applyNumberFormat="1" applyFont="1" applyBorder="1" applyAlignment="1">
      <alignment horizontal="justify" vertical="center"/>
    </xf>
    <xf numFmtId="2" fontId="15" fillId="0" borderId="80" xfId="14" applyNumberFormat="1" applyFont="1" applyBorder="1" applyAlignment="1">
      <alignment horizontal="justify" vertical="center" wrapText="1"/>
    </xf>
    <xf numFmtId="2" fontId="15" fillId="0" borderId="80" xfId="14" applyNumberFormat="1" applyFont="1" applyBorder="1" applyAlignment="1">
      <alignment wrapText="1"/>
    </xf>
    <xf numFmtId="0" fontId="16" fillId="0" borderId="0" xfId="9" applyFont="1" applyFill="1" applyBorder="1" applyAlignment="1">
      <alignment horizontal="center"/>
    </xf>
    <xf numFmtId="0" fontId="11" fillId="0" borderId="33" xfId="10" applyFont="1" applyFill="1" applyBorder="1" applyAlignment="1">
      <alignment horizontal="left"/>
    </xf>
    <xf numFmtId="0" fontId="9" fillId="0" borderId="17" xfId="10" applyFont="1" applyFill="1" applyBorder="1"/>
    <xf numFmtId="0" fontId="9" fillId="0" borderId="73" xfId="10" applyFont="1" applyFill="1" applyBorder="1"/>
    <xf numFmtId="0" fontId="9" fillId="0" borderId="101" xfId="10" applyFont="1" applyFill="1" applyBorder="1"/>
    <xf numFmtId="0" fontId="9" fillId="0" borderId="18" xfId="10" applyFont="1" applyFill="1" applyBorder="1"/>
    <xf numFmtId="0" fontId="9" fillId="0" borderId="19" xfId="10" applyFont="1" applyFill="1" applyBorder="1"/>
    <xf numFmtId="0" fontId="11" fillId="0" borderId="73" xfId="10" applyFont="1" applyFill="1" applyBorder="1" applyAlignment="1">
      <alignment vertical="justify"/>
    </xf>
    <xf numFmtId="0" fontId="11" fillId="0" borderId="183" xfId="10" applyFont="1" applyFill="1" applyBorder="1" applyAlignment="1">
      <alignment vertical="justify"/>
    </xf>
    <xf numFmtId="0" fontId="11" fillId="0" borderId="20" xfId="10" applyFont="1" applyFill="1" applyBorder="1" applyAlignment="1">
      <alignment horizontal="center"/>
    </xf>
    <xf numFmtId="0" fontId="11" fillId="0" borderId="117" xfId="10" applyFont="1" applyFill="1" applyBorder="1" applyAlignment="1">
      <alignment horizontal="center"/>
    </xf>
    <xf numFmtId="0" fontId="11" fillId="0" borderId="148" xfId="10" applyFont="1" applyFill="1" applyBorder="1" applyAlignment="1">
      <alignment horizontal="center"/>
    </xf>
    <xf numFmtId="0" fontId="7" fillId="0" borderId="184" xfId="10" applyFont="1" applyFill="1" applyBorder="1"/>
    <xf numFmtId="0" fontId="7" fillId="0" borderId="99" xfId="10" applyFont="1" applyFill="1" applyBorder="1"/>
    <xf numFmtId="0" fontId="8" fillId="0" borderId="106" xfId="10" applyFont="1" applyFill="1" applyBorder="1" applyAlignment="1">
      <alignment horizontal="centerContinuous"/>
    </xf>
    <xf numFmtId="0" fontId="8" fillId="0" borderId="116" xfId="10" applyFont="1" applyFill="1" applyBorder="1" applyAlignment="1">
      <alignment horizontal="right"/>
    </xf>
    <xf numFmtId="0" fontId="31" fillId="0" borderId="25" xfId="10" applyFont="1" applyFill="1" applyBorder="1"/>
    <xf numFmtId="0" fontId="3" fillId="0" borderId="18" xfId="10" applyFont="1" applyFill="1" applyBorder="1"/>
    <xf numFmtId="0" fontId="6" fillId="0" borderId="18" xfId="10" applyFont="1" applyFill="1" applyBorder="1"/>
    <xf numFmtId="0" fontId="7" fillId="0" borderId="18" xfId="10" applyFont="1" applyFill="1" applyBorder="1"/>
    <xf numFmtId="0" fontId="7" fillId="0" borderId="26" xfId="10" applyFont="1" applyFill="1" applyBorder="1"/>
    <xf numFmtId="0" fontId="8" fillId="0" borderId="22" xfId="10" applyFont="1" applyFill="1" applyBorder="1"/>
    <xf numFmtId="0" fontId="3" fillId="0" borderId="0" xfId="9" applyFill="1" applyBorder="1"/>
    <xf numFmtId="0" fontId="11" fillId="0" borderId="27" xfId="10" applyFont="1" applyFill="1" applyBorder="1" applyAlignment="1">
      <alignment horizontal="centerContinuous"/>
    </xf>
    <xf numFmtId="0" fontId="6" fillId="0" borderId="22" xfId="10" applyFont="1" applyFill="1" applyBorder="1"/>
    <xf numFmtId="0" fontId="6" fillId="0" borderId="23" xfId="10" applyFont="1" applyFill="1" applyBorder="1"/>
    <xf numFmtId="0" fontId="6" fillId="0" borderId="21" xfId="10" applyFont="1" applyFill="1" applyBorder="1"/>
    <xf numFmtId="0" fontId="71" fillId="0" borderId="21" xfId="10" applyFont="1" applyFill="1" applyBorder="1"/>
    <xf numFmtId="0" fontId="7" fillId="0" borderId="24" xfId="10" applyFont="1" applyFill="1" applyBorder="1"/>
    <xf numFmtId="0" fontId="61" fillId="20" borderId="17" xfId="13" applyFont="1" applyFill="1" applyBorder="1"/>
    <xf numFmtId="0" fontId="61" fillId="20" borderId="73" xfId="13" applyFont="1" applyFill="1" applyBorder="1"/>
    <xf numFmtId="0" fontId="61" fillId="20" borderId="101" xfId="13" applyFont="1" applyFill="1" applyBorder="1"/>
    <xf numFmtId="0" fontId="61" fillId="20" borderId="18" xfId="13" applyFont="1" applyFill="1" applyBorder="1"/>
    <xf numFmtId="0" fontId="61" fillId="20" borderId="19" xfId="13" applyFont="1" applyFill="1" applyBorder="1"/>
    <xf numFmtId="0" fontId="61" fillId="20" borderId="26" xfId="13" applyFont="1" applyFill="1" applyBorder="1"/>
    <xf numFmtId="0" fontId="61" fillId="20" borderId="20" xfId="13" applyFont="1" applyFill="1" applyBorder="1" applyAlignment="1">
      <alignment horizontal="center"/>
    </xf>
    <xf numFmtId="0" fontId="61" fillId="20" borderId="185" xfId="13" applyFont="1" applyFill="1" applyBorder="1" applyAlignment="1">
      <alignment horizontal="centerContinuous"/>
    </xf>
    <xf numFmtId="0" fontId="60" fillId="20" borderId="117" xfId="13" applyFont="1" applyFill="1" applyBorder="1"/>
    <xf numFmtId="0" fontId="60" fillId="20" borderId="99" xfId="13" applyFont="1" applyFill="1" applyBorder="1"/>
    <xf numFmtId="1" fontId="64" fillId="0" borderId="88" xfId="13" applyNumberFormat="1" applyFont="1" applyFill="1" applyBorder="1"/>
    <xf numFmtId="1" fontId="65" fillId="20" borderId="88" xfId="13" applyNumberFormat="1" applyFont="1" applyFill="1" applyBorder="1"/>
    <xf numFmtId="0" fontId="60" fillId="21" borderId="99" xfId="13" applyFont="1" applyFill="1" applyBorder="1"/>
    <xf numFmtId="1" fontId="64" fillId="21" borderId="88" xfId="13" applyNumberFormat="1" applyFont="1" applyFill="1" applyBorder="1"/>
    <xf numFmtId="0" fontId="60" fillId="19" borderId="99" xfId="13" applyFont="1" applyFill="1" applyBorder="1"/>
    <xf numFmtId="1" fontId="65" fillId="19" borderId="88" xfId="13" applyNumberFormat="1" applyFont="1" applyFill="1" applyBorder="1"/>
    <xf numFmtId="0" fontId="68" fillId="19" borderId="106" xfId="13" applyFont="1" applyFill="1" applyBorder="1" applyAlignment="1">
      <alignment horizontal="centerContinuous"/>
    </xf>
    <xf numFmtId="0" fontId="8" fillId="19" borderId="116" xfId="13" applyFont="1" applyFill="1" applyBorder="1" applyAlignment="1">
      <alignment horizontal="right"/>
    </xf>
    <xf numFmtId="9" fontId="8" fillId="19" borderId="116" xfId="13" applyNumberFormat="1" applyFont="1" applyFill="1" applyBorder="1" applyAlignment="1">
      <alignment horizontal="right"/>
    </xf>
    <xf numFmtId="1" fontId="64" fillId="19" borderId="116" xfId="13" applyNumberFormat="1" applyFont="1" applyFill="1" applyBorder="1"/>
    <xf numFmtId="1" fontId="64" fillId="19" borderId="115" xfId="13" applyNumberFormat="1" applyFont="1" applyFill="1" applyBorder="1"/>
    <xf numFmtId="0" fontId="61" fillId="20" borderId="106" xfId="13" applyFont="1" applyFill="1" applyBorder="1" applyAlignment="1">
      <alignment horizontal="center"/>
    </xf>
    <xf numFmtId="0" fontId="61" fillId="20" borderId="116" xfId="13" applyFont="1" applyFill="1" applyBorder="1" applyAlignment="1">
      <alignment horizontal="center"/>
    </xf>
    <xf numFmtId="1" fontId="62" fillId="20" borderId="116" xfId="13" applyNumberFormat="1" applyFont="1" applyFill="1" applyBorder="1"/>
    <xf numFmtId="0" fontId="61" fillId="20" borderId="186" xfId="13" applyFont="1" applyFill="1" applyBorder="1" applyAlignment="1">
      <alignment horizontal="center"/>
    </xf>
    <xf numFmtId="0" fontId="61" fillId="20" borderId="115" xfId="13" applyFont="1" applyFill="1" applyBorder="1" applyAlignment="1">
      <alignment horizontal="center"/>
    </xf>
    <xf numFmtId="2" fontId="13" fillId="0" borderId="187" xfId="14" applyNumberFormat="1" applyFont="1" applyBorder="1" applyAlignment="1">
      <alignment horizontal="center"/>
    </xf>
    <xf numFmtId="2" fontId="13" fillId="0" borderId="188" xfId="14" applyNumberFormat="1" applyFont="1" applyBorder="1" applyAlignment="1">
      <alignment horizontal="center"/>
    </xf>
    <xf numFmtId="2" fontId="15" fillId="0" borderId="189" xfId="14" applyNumberFormat="1" applyFont="1" applyBorder="1" applyAlignment="1">
      <alignment horizontal="center"/>
    </xf>
    <xf numFmtId="2" fontId="15" fillId="0" borderId="189" xfId="14" applyNumberFormat="1" applyFont="1" applyBorder="1" applyAlignment="1">
      <alignment horizontal="left" wrapText="1"/>
    </xf>
    <xf numFmtId="2" fontId="15" fillId="0" borderId="189" xfId="14" applyNumberFormat="1" applyFont="1" applyBorder="1" applyAlignment="1">
      <alignment wrapText="1"/>
    </xf>
    <xf numFmtId="2" fontId="15" fillId="0" borderId="190" xfId="14" applyNumberFormat="1" applyFont="1" applyBorder="1" applyAlignment="1">
      <alignment horizontal="left" wrapText="1"/>
    </xf>
    <xf numFmtId="2" fontId="15" fillId="0" borderId="191" xfId="14" applyNumberFormat="1" applyFont="1" applyBorder="1" applyAlignment="1">
      <alignment horizontal="left" wrapText="1"/>
    </xf>
    <xf numFmtId="2" fontId="17" fillId="0" borderId="116" xfId="14" applyNumberFormat="1" applyFont="1" applyBorder="1" applyAlignment="1">
      <alignment horizontal="center"/>
    </xf>
    <xf numFmtId="2" fontId="17" fillId="0" borderId="115" xfId="14" applyNumberFormat="1" applyFont="1" applyBorder="1" applyAlignment="1">
      <alignment horizontal="center"/>
    </xf>
    <xf numFmtId="3" fontId="22" fillId="0" borderId="80" xfId="19" applyNumberFormat="1" applyFont="1" applyBorder="1" applyAlignment="1">
      <alignment horizontal="center"/>
    </xf>
    <xf numFmtId="0" fontId="15" fillId="0" borderId="15" xfId="0" applyFont="1" applyBorder="1" applyAlignment="1">
      <alignment horizontal="center"/>
    </xf>
    <xf numFmtId="3" fontId="17" fillId="6" borderId="53" xfId="19" quotePrefix="1" applyNumberFormat="1" applyFont="1" applyFill="1" applyBorder="1"/>
    <xf numFmtId="0" fontId="23" fillId="8" borderId="31" xfId="1" applyNumberFormat="1" applyFont="1" applyFill="1" applyBorder="1" applyAlignment="1">
      <alignment horizontal="center" wrapText="1"/>
    </xf>
    <xf numFmtId="0" fontId="15" fillId="0" borderId="0" xfId="0" applyNumberFormat="1" applyFont="1" applyFill="1" applyBorder="1"/>
    <xf numFmtId="0" fontId="15" fillId="0" borderId="0" xfId="0" applyNumberFormat="1" applyFont="1" applyFill="1" applyBorder="1" applyAlignment="1">
      <alignment horizontal="center"/>
    </xf>
    <xf numFmtId="0" fontId="17" fillId="0" borderId="0" xfId="0" applyNumberFormat="1" applyFont="1" applyFill="1" applyBorder="1" applyAlignment="1">
      <alignment horizontal="center"/>
    </xf>
    <xf numFmtId="0" fontId="42" fillId="0" borderId="0" xfId="1" applyNumberFormat="1" applyFont="1" applyFill="1" applyBorder="1" applyAlignment="1">
      <alignment horizontal="center" vertical="top" wrapText="1"/>
    </xf>
    <xf numFmtId="0" fontId="15" fillId="0" borderId="0" xfId="0" applyNumberFormat="1" applyFont="1" applyFill="1" applyBorder="1" applyAlignment="1">
      <alignment horizontal="left"/>
    </xf>
    <xf numFmtId="0" fontId="17" fillId="0" borderId="0" xfId="0" applyNumberFormat="1" applyFont="1" applyFill="1" applyBorder="1"/>
    <xf numFmtId="3" fontId="44" fillId="0" borderId="15" xfId="1" applyNumberFormat="1" applyFont="1" applyFill="1" applyBorder="1" applyAlignment="1">
      <alignment horizontal="right"/>
    </xf>
    <xf numFmtId="168" fontId="3" fillId="0" borderId="0" xfId="9" applyNumberFormat="1" applyFill="1"/>
    <xf numFmtId="3" fontId="3" fillId="0" borderId="0" xfId="9" applyNumberFormat="1" applyFill="1" applyAlignment="1">
      <alignment horizontal="center"/>
    </xf>
    <xf numFmtId="3" fontId="17" fillId="0" borderId="15" xfId="19" applyNumberFormat="1" applyFont="1" applyFill="1" applyBorder="1"/>
    <xf numFmtId="0" fontId="33" fillId="0" borderId="15" xfId="0" applyFont="1" applyFill="1" applyBorder="1"/>
    <xf numFmtId="0" fontId="33" fillId="0" borderId="15" xfId="0" applyFont="1" applyFill="1" applyBorder="1" applyAlignment="1">
      <alignment horizontal="right"/>
    </xf>
    <xf numFmtId="49" fontId="3" fillId="0" borderId="15" xfId="9" applyNumberFormat="1" applyFont="1" applyFill="1" applyBorder="1" applyAlignment="1" applyProtection="1">
      <alignment horizontal="center"/>
    </xf>
    <xf numFmtId="0" fontId="6" fillId="0" borderId="15" xfId="13" applyFont="1" applyFill="1" applyBorder="1"/>
    <xf numFmtId="9" fontId="63" fillId="0" borderId="15" xfId="10" applyNumberFormat="1" applyFont="1" applyFill="1" applyBorder="1" applyProtection="1"/>
    <xf numFmtId="0" fontId="15" fillId="0" borderId="32" xfId="0" applyFont="1" applyBorder="1"/>
    <xf numFmtId="0" fontId="15" fillId="0" borderId="29" xfId="0" applyFont="1" applyBorder="1"/>
    <xf numFmtId="0" fontId="15" fillId="0" borderId="0" xfId="0" applyFont="1" applyFill="1" applyBorder="1"/>
    <xf numFmtId="0" fontId="8" fillId="19" borderId="0" xfId="13" applyFont="1" applyFill="1" applyBorder="1" applyAlignment="1">
      <alignment horizontal="right"/>
    </xf>
    <xf numFmtId="9" fontId="8" fillId="19" borderId="0" xfId="13" applyNumberFormat="1" applyFont="1" applyFill="1" applyBorder="1" applyAlignment="1">
      <alignment horizontal="right"/>
    </xf>
    <xf numFmtId="1" fontId="64" fillId="19" borderId="0" xfId="13" applyNumberFormat="1" applyFont="1" applyFill="1" applyBorder="1"/>
    <xf numFmtId="0" fontId="68" fillId="19" borderId="0" xfId="13" applyFont="1" applyFill="1" applyBorder="1" applyAlignment="1">
      <alignment horizontal="center"/>
    </xf>
    <xf numFmtId="1" fontId="64" fillId="0" borderId="16" xfId="13" applyNumberFormat="1" applyFont="1" applyFill="1" applyBorder="1" applyProtection="1"/>
    <xf numFmtId="1" fontId="21" fillId="0" borderId="16" xfId="13" applyNumberFormat="1" applyFont="1" applyFill="1" applyBorder="1" applyProtection="1"/>
    <xf numFmtId="1" fontId="64" fillId="0" borderId="28" xfId="13" applyNumberFormat="1" applyFont="1" applyFill="1" applyBorder="1" applyProtection="1"/>
    <xf numFmtId="1" fontId="21" fillId="0" borderId="15" xfId="13" applyNumberFormat="1" applyFont="1" applyFill="1" applyBorder="1" applyProtection="1"/>
    <xf numFmtId="1" fontId="64" fillId="0" borderId="88" xfId="13" applyNumberFormat="1" applyFont="1" applyFill="1" applyBorder="1" applyProtection="1"/>
    <xf numFmtId="1" fontId="64" fillId="25" borderId="15" xfId="13" applyNumberFormat="1" applyFont="1" applyFill="1" applyBorder="1" applyProtection="1"/>
    <xf numFmtId="1" fontId="64" fillId="19" borderId="15" xfId="13" applyNumberFormat="1" applyFont="1" applyFill="1" applyBorder="1" applyProtection="1"/>
    <xf numFmtId="3" fontId="15" fillId="0" borderId="31" xfId="0" applyNumberFormat="1" applyFont="1" applyBorder="1"/>
    <xf numFmtId="3" fontId="6" fillId="0" borderId="15" xfId="0" applyNumberFormat="1" applyFont="1" applyFill="1" applyBorder="1" applyProtection="1"/>
    <xf numFmtId="1" fontId="15" fillId="0" borderId="80" xfId="14" applyNumberFormat="1" applyFont="1" applyBorder="1" applyAlignment="1" applyProtection="1">
      <alignment wrapText="1"/>
    </xf>
    <xf numFmtId="1" fontId="13" fillId="0" borderId="182" xfId="14" applyNumberFormat="1" applyFont="1" applyBorder="1" applyAlignment="1" applyProtection="1">
      <alignment horizontal="center"/>
    </xf>
    <xf numFmtId="1" fontId="15" fillId="0" borderId="80" xfId="14" applyNumberFormat="1" applyFont="1" applyBorder="1" applyAlignment="1" applyProtection="1">
      <alignment horizontal="center" wrapText="1"/>
    </xf>
    <xf numFmtId="1" fontId="15" fillId="0" borderId="80" xfId="14" applyNumberFormat="1" applyFont="1" applyBorder="1" applyAlignment="1" applyProtection="1">
      <alignment horizontal="justify" vertical="center"/>
    </xf>
    <xf numFmtId="1" fontId="15" fillId="0" borderId="80" xfId="14" applyNumberFormat="1" applyFont="1" applyBorder="1" applyAlignment="1" applyProtection="1">
      <alignment horizontal="center"/>
    </xf>
    <xf numFmtId="1" fontId="15" fillId="0" borderId="80" xfId="14" applyNumberFormat="1" applyFont="1" applyBorder="1" applyAlignment="1" applyProtection="1">
      <alignment horizontal="left" wrapText="1"/>
    </xf>
    <xf numFmtId="2" fontId="15" fillId="0" borderId="80" xfId="14" applyNumberFormat="1" applyFont="1" applyBorder="1" applyAlignment="1" applyProtection="1">
      <alignment horizontal="left" wrapText="1"/>
    </xf>
    <xf numFmtId="2" fontId="15" fillId="0" borderId="80" xfId="14" applyNumberFormat="1" applyFont="1" applyBorder="1" applyAlignment="1" applyProtection="1">
      <alignment wrapText="1"/>
    </xf>
    <xf numFmtId="2" fontId="15" fillId="0" borderId="80" xfId="14" applyNumberFormat="1" applyFont="1" applyBorder="1" applyAlignment="1" applyProtection="1">
      <alignment horizontal="center"/>
    </xf>
    <xf numFmtId="2" fontId="15" fillId="0" borderId="80" xfId="14" applyNumberFormat="1" applyFont="1" applyBorder="1" applyAlignment="1" applyProtection="1">
      <alignment horizontal="justify" vertical="center" wrapText="1"/>
    </xf>
    <xf numFmtId="3" fontId="2" fillId="0" borderId="0" xfId="0" applyNumberFormat="1" applyFont="1"/>
    <xf numFmtId="3" fontId="3" fillId="0" borderId="0" xfId="0" applyNumberFormat="1" applyFont="1"/>
    <xf numFmtId="3" fontId="0" fillId="26" borderId="0" xfId="0" applyNumberFormat="1" applyFill="1"/>
    <xf numFmtId="168" fontId="0" fillId="0" borderId="0" xfId="0" applyNumberFormat="1"/>
    <xf numFmtId="168" fontId="3" fillId="0" borderId="0" xfId="0" applyNumberFormat="1" applyFont="1"/>
    <xf numFmtId="168" fontId="2" fillId="0" borderId="0" xfId="0" applyNumberFormat="1" applyFont="1"/>
    <xf numFmtId="3" fontId="7" fillId="0" borderId="131" xfId="0" applyNumberFormat="1" applyFont="1" applyBorder="1" applyAlignment="1" applyProtection="1"/>
    <xf numFmtId="3" fontId="7" fillId="0" borderId="155" xfId="0" applyNumberFormat="1" applyFont="1" applyBorder="1" applyAlignment="1" applyProtection="1"/>
    <xf numFmtId="0" fontId="15" fillId="0" borderId="31" xfId="0" applyFont="1" applyBorder="1" applyProtection="1"/>
    <xf numFmtId="0" fontId="11" fillId="27" borderId="0" xfId="13" applyFont="1" applyFill="1" applyBorder="1"/>
    <xf numFmtId="0" fontId="3" fillId="28" borderId="0" xfId="9" applyFill="1" applyBorder="1"/>
    <xf numFmtId="3" fontId="17" fillId="0" borderId="210" xfId="19" applyNumberFormat="1" applyFont="1" applyBorder="1"/>
    <xf numFmtId="3" fontId="17" fillId="0" borderId="188" xfId="19" applyNumberFormat="1" applyFont="1" applyBorder="1"/>
    <xf numFmtId="3" fontId="15" fillId="0" borderId="188" xfId="19" applyNumberFormat="1" applyFont="1" applyBorder="1"/>
    <xf numFmtId="3" fontId="17" fillId="0" borderId="177" xfId="19" applyNumberFormat="1" applyFont="1" applyBorder="1"/>
    <xf numFmtId="3" fontId="17" fillId="0" borderId="178" xfId="19" applyNumberFormat="1" applyFont="1" applyBorder="1"/>
    <xf numFmtId="3" fontId="17" fillId="0" borderId="179" xfId="19" applyNumberFormat="1" applyFont="1" applyBorder="1"/>
    <xf numFmtId="3" fontId="17" fillId="0" borderId="180" xfId="19" applyNumberFormat="1" applyFont="1" applyBorder="1"/>
    <xf numFmtId="3" fontId="17" fillId="0" borderId="181" xfId="19" applyNumberFormat="1" applyFont="1" applyBorder="1"/>
    <xf numFmtId="3" fontId="17" fillId="6" borderId="51" xfId="19" quotePrefix="1" applyNumberFormat="1" applyFont="1" applyFill="1" applyBorder="1"/>
    <xf numFmtId="3" fontId="17" fillId="6" borderId="34" xfId="19" applyNumberFormat="1" applyFont="1" applyFill="1" applyBorder="1"/>
    <xf numFmtId="3" fontId="17" fillId="6" borderId="211" xfId="19" applyNumberFormat="1" applyFont="1" applyFill="1" applyBorder="1"/>
    <xf numFmtId="3" fontId="17" fillId="6" borderId="37" xfId="19" applyNumberFormat="1" applyFont="1" applyFill="1" applyBorder="1"/>
    <xf numFmtId="3" fontId="17" fillId="6" borderId="212" xfId="19" applyNumberFormat="1" applyFont="1" applyFill="1" applyBorder="1"/>
    <xf numFmtId="3" fontId="17" fillId="6" borderId="64" xfId="19" applyNumberFormat="1" applyFont="1" applyFill="1" applyBorder="1"/>
    <xf numFmtId="3" fontId="17" fillId="6" borderId="52" xfId="19" applyNumberFormat="1" applyFont="1" applyFill="1" applyBorder="1"/>
    <xf numFmtId="3" fontId="15" fillId="0" borderId="213" xfId="19" applyNumberFormat="1" applyFont="1" applyBorder="1"/>
    <xf numFmtId="3" fontId="15" fillId="0" borderId="54" xfId="19" applyNumberFormat="1" applyFont="1" applyBorder="1"/>
    <xf numFmtId="0" fontId="0" fillId="0" borderId="0" xfId="0" applyAlignment="1"/>
    <xf numFmtId="0" fontId="2" fillId="0" borderId="0" xfId="0" applyFont="1" applyAlignment="1"/>
    <xf numFmtId="3" fontId="63" fillId="0" borderId="153" xfId="10" applyNumberFormat="1" applyFont="1" applyFill="1" applyBorder="1"/>
    <xf numFmtId="3" fontId="63" fillId="0" borderId="15" xfId="10" applyNumberFormat="1" applyFont="1" applyFill="1" applyBorder="1"/>
    <xf numFmtId="3" fontId="63" fillId="0" borderId="16" xfId="10" applyNumberFormat="1" applyFont="1" applyFill="1" applyBorder="1"/>
    <xf numFmtId="3" fontId="63" fillId="0" borderId="154" xfId="10" applyNumberFormat="1" applyFont="1" applyFill="1" applyBorder="1"/>
    <xf numFmtId="3" fontId="63" fillId="0" borderId="88" xfId="10" applyNumberFormat="1" applyFont="1" applyFill="1" applyBorder="1"/>
    <xf numFmtId="3" fontId="63" fillId="0" borderId="15" xfId="10" applyNumberFormat="1" applyFont="1" applyFill="1" applyBorder="1" applyProtection="1"/>
    <xf numFmtId="3" fontId="63" fillId="0" borderId="88" xfId="10" applyNumberFormat="1" applyFont="1" applyFill="1" applyBorder="1" applyProtection="1"/>
    <xf numFmtId="3" fontId="63" fillId="0" borderId="116" xfId="10" applyNumberFormat="1" applyFont="1" applyFill="1" applyBorder="1"/>
    <xf numFmtId="3" fontId="63" fillId="0" borderId="115" xfId="10" applyNumberFormat="1" applyFont="1" applyFill="1" applyBorder="1"/>
    <xf numFmtId="3" fontId="65" fillId="0" borderId="173" xfId="9" applyNumberFormat="1" applyFont="1" applyFill="1" applyBorder="1"/>
    <xf numFmtId="3" fontId="65" fillId="0" borderId="153" xfId="9" applyNumberFormat="1" applyFont="1" applyFill="1" applyBorder="1"/>
    <xf numFmtId="3" fontId="65" fillId="0" borderId="153" xfId="10" applyNumberFormat="1" applyFont="1" applyFill="1" applyBorder="1"/>
    <xf numFmtId="3" fontId="64" fillId="0" borderId="174" xfId="10" applyNumberFormat="1" applyFont="1" applyFill="1" applyBorder="1"/>
    <xf numFmtId="3" fontId="65" fillId="0" borderId="44" xfId="9" applyNumberFormat="1" applyFont="1" applyFill="1" applyBorder="1"/>
    <xf numFmtId="3" fontId="65" fillId="0" borderId="15" xfId="9" applyNumberFormat="1" applyFont="1" applyFill="1" applyBorder="1"/>
    <xf numFmtId="3" fontId="65" fillId="0" borderId="15" xfId="10" applyNumberFormat="1" applyFont="1" applyFill="1" applyBorder="1"/>
    <xf numFmtId="3" fontId="64" fillId="0" borderId="15" xfId="10" applyNumberFormat="1" applyFont="1" applyFill="1" applyBorder="1"/>
    <xf numFmtId="3" fontId="64" fillId="0" borderId="45" xfId="10" applyNumberFormat="1" applyFont="1" applyFill="1" applyBorder="1"/>
    <xf numFmtId="3" fontId="67" fillId="0" borderId="175" xfId="10" applyNumberFormat="1" applyFont="1" applyFill="1" applyBorder="1"/>
    <xf numFmtId="3" fontId="67" fillId="0" borderId="71" xfId="10" applyNumberFormat="1" applyFont="1" applyFill="1" applyBorder="1"/>
    <xf numFmtId="3" fontId="6" fillId="0" borderId="71" xfId="10" applyNumberFormat="1" applyFont="1" applyFill="1" applyBorder="1"/>
    <xf numFmtId="3" fontId="6" fillId="0" borderId="176" xfId="10" applyNumberFormat="1" applyFont="1" applyFill="1" applyBorder="1"/>
    <xf numFmtId="0" fontId="43" fillId="30" borderId="15" xfId="1" applyNumberFormat="1" applyFont="1" applyFill="1" applyBorder="1" applyAlignment="1">
      <alignment horizontal="right" vertical="top" wrapText="1"/>
    </xf>
    <xf numFmtId="0" fontId="15" fillId="31" borderId="15" xfId="1" applyNumberFormat="1" applyFont="1" applyFill="1" applyBorder="1" applyAlignment="1">
      <alignment horizontal="right"/>
    </xf>
    <xf numFmtId="0" fontId="48" fillId="31" borderId="15" xfId="1" applyNumberFormat="1" applyFont="1" applyFill="1" applyBorder="1" applyAlignment="1">
      <alignment horizontal="right" vertical="top" wrapText="1"/>
    </xf>
    <xf numFmtId="0" fontId="47" fillId="30" borderId="15" xfId="1" applyNumberFormat="1" applyFont="1" applyFill="1" applyBorder="1" applyAlignment="1">
      <alignment horizontal="right"/>
    </xf>
    <xf numFmtId="0" fontId="15" fillId="33" borderId="15" xfId="1" applyNumberFormat="1" applyFont="1" applyFill="1" applyBorder="1" applyAlignment="1">
      <alignment horizontal="right"/>
    </xf>
    <xf numFmtId="0" fontId="48" fillId="31" borderId="15" xfId="1" applyNumberFormat="1" applyFont="1" applyFill="1" applyBorder="1" applyAlignment="1">
      <alignment horizontal="right"/>
    </xf>
    <xf numFmtId="0" fontId="15" fillId="31" borderId="15" xfId="1" applyNumberFormat="1" applyFont="1" applyFill="1" applyBorder="1" applyAlignment="1">
      <alignment horizontal="right" wrapText="1"/>
    </xf>
    <xf numFmtId="0" fontId="15" fillId="34" borderId="15" xfId="1" applyNumberFormat="1" applyFont="1" applyFill="1" applyBorder="1" applyAlignment="1">
      <alignment horizontal="right"/>
    </xf>
    <xf numFmtId="0" fontId="48" fillId="0" borderId="15" xfId="21" applyNumberFormat="1" applyFont="1" applyFill="1" applyBorder="1" applyAlignment="1">
      <alignment horizontal="right" vertical="top" wrapText="1"/>
    </xf>
    <xf numFmtId="0" fontId="48" fillId="29" borderId="15" xfId="1" applyNumberFormat="1" applyFont="1" applyFill="1" applyBorder="1" applyAlignment="1">
      <alignment horizontal="right" vertical="top" wrapText="1"/>
    </xf>
    <xf numFmtId="0" fontId="75" fillId="32" borderId="88" xfId="1" applyNumberFormat="1" applyFont="1" applyFill="1" applyBorder="1" applyAlignment="1">
      <alignment horizontal="right"/>
    </xf>
    <xf numFmtId="0" fontId="45" fillId="7" borderId="15" xfId="1" applyNumberFormat="1" applyFont="1" applyFill="1" applyBorder="1" applyAlignment="1"/>
    <xf numFmtId="0" fontId="2" fillId="0" borderId="15" xfId="9" applyFont="1" applyFill="1" applyBorder="1" applyProtection="1"/>
    <xf numFmtId="166" fontId="35" fillId="36" borderId="15" xfId="0" applyNumberFormat="1" applyFont="1" applyFill="1" applyBorder="1" applyAlignment="1">
      <alignment horizontal="right"/>
    </xf>
    <xf numFmtId="0" fontId="35" fillId="36" borderId="15" xfId="0" applyFont="1" applyFill="1" applyBorder="1" applyAlignment="1">
      <alignment horizontal="justify"/>
    </xf>
    <xf numFmtId="3" fontId="28" fillId="36" borderId="15" xfId="0" applyNumberFormat="1" applyFont="1" applyFill="1" applyBorder="1"/>
    <xf numFmtId="0" fontId="35" fillId="36" borderId="15" xfId="0" applyFont="1" applyFill="1" applyBorder="1" applyAlignment="1">
      <alignment horizontal="right"/>
    </xf>
    <xf numFmtId="0" fontId="36" fillId="36" borderId="15" xfId="0" applyFont="1" applyFill="1" applyBorder="1" applyAlignment="1">
      <alignment horizontal="right"/>
    </xf>
    <xf numFmtId="0" fontId="36" fillId="36" borderId="15" xfId="0" applyFont="1" applyFill="1" applyBorder="1" applyAlignment="1">
      <alignment horizontal="left"/>
    </xf>
    <xf numFmtId="0" fontId="35" fillId="36" borderId="15" xfId="0" applyFont="1" applyFill="1" applyBorder="1"/>
    <xf numFmtId="0" fontId="36" fillId="36" borderId="15" xfId="0" applyFont="1" applyFill="1" applyBorder="1"/>
    <xf numFmtId="0" fontId="8" fillId="36" borderId="95" xfId="0" applyFont="1" applyFill="1" applyBorder="1" applyAlignment="1">
      <alignment horizontal="centerContinuous"/>
    </xf>
    <xf numFmtId="0" fontId="19" fillId="36" borderId="95" xfId="0" applyFont="1" applyFill="1" applyBorder="1" applyAlignment="1">
      <alignment horizontal="center"/>
    </xf>
    <xf numFmtId="3" fontId="28" fillId="36" borderId="95" xfId="0" applyNumberFormat="1" applyFont="1" applyFill="1" applyBorder="1"/>
    <xf numFmtId="0" fontId="11" fillId="35" borderId="29" xfId="10" applyFont="1" applyFill="1" applyBorder="1" applyAlignment="1">
      <alignment horizontal="centerContinuous"/>
    </xf>
    <xf numFmtId="0" fontId="11" fillId="35" borderId="30" xfId="10" applyFont="1" applyFill="1" applyBorder="1" applyAlignment="1">
      <alignment horizontal="centerContinuous"/>
    </xf>
    <xf numFmtId="0" fontId="69" fillId="35" borderId="27" xfId="10" applyFont="1" applyFill="1" applyBorder="1" applyAlignment="1">
      <alignment horizontal="left"/>
    </xf>
    <xf numFmtId="0" fontId="29" fillId="35" borderId="74" xfId="0" applyFont="1" applyFill="1" applyBorder="1" applyAlignment="1">
      <alignment horizontal="centerContinuous"/>
    </xf>
    <xf numFmtId="0" fontId="29" fillId="37" borderId="30" xfId="0" applyFont="1" applyFill="1" applyBorder="1" applyAlignment="1">
      <alignment horizontal="centerContinuous"/>
    </xf>
    <xf numFmtId="0" fontId="31" fillId="37" borderId="15" xfId="0" applyFont="1" applyFill="1" applyBorder="1" applyAlignment="1">
      <alignment horizontal="center"/>
    </xf>
    <xf numFmtId="3" fontId="77" fillId="0" borderId="0" xfId="17" applyNumberFormat="1" applyFont="1" applyAlignment="1">
      <alignment vertical="center"/>
    </xf>
    <xf numFmtId="0" fontId="77" fillId="0" borderId="0" xfId="17" applyFont="1" applyAlignment="1">
      <alignment vertical="center"/>
    </xf>
    <xf numFmtId="0" fontId="78" fillId="0" borderId="0" xfId="17" applyFont="1" applyAlignment="1">
      <alignment vertical="center"/>
    </xf>
    <xf numFmtId="0" fontId="79" fillId="0" borderId="0" xfId="16" applyFont="1" applyAlignment="1">
      <alignment vertical="center"/>
    </xf>
    <xf numFmtId="0" fontId="79" fillId="0" borderId="8" xfId="26" applyFont="1" applyFill="1" applyBorder="1" applyAlignment="1">
      <alignment vertical="center"/>
    </xf>
    <xf numFmtId="0" fontId="79" fillId="0" borderId="3" xfId="26" applyFont="1" applyFill="1" applyBorder="1" applyAlignment="1">
      <alignment vertical="center"/>
    </xf>
    <xf numFmtId="0" fontId="77" fillId="0" borderId="3" xfId="26" applyFont="1" applyFill="1" applyBorder="1" applyAlignment="1">
      <alignment vertical="center"/>
    </xf>
    <xf numFmtId="0" fontId="77" fillId="0" borderId="3" xfId="26" applyFont="1" applyBorder="1" applyAlignment="1">
      <alignment vertical="center"/>
    </xf>
    <xf numFmtId="0" fontId="77" fillId="2" borderId="3" xfId="26" applyFont="1" applyFill="1" applyBorder="1" applyAlignment="1">
      <alignment vertical="center"/>
    </xf>
    <xf numFmtId="0" fontId="77" fillId="2" borderId="9" xfId="26" applyFont="1" applyFill="1" applyBorder="1" applyAlignment="1">
      <alignment vertical="center"/>
    </xf>
    <xf numFmtId="0" fontId="78" fillId="2" borderId="0" xfId="26" applyFont="1" applyFill="1" applyBorder="1" applyAlignment="1">
      <alignment vertical="center"/>
    </xf>
    <xf numFmtId="3" fontId="79" fillId="0" borderId="0" xfId="19" applyNumberFormat="1" applyFont="1" applyBorder="1" applyAlignment="1">
      <alignment vertical="center"/>
    </xf>
    <xf numFmtId="0" fontId="80" fillId="0" borderId="0" xfId="26" applyFont="1" applyBorder="1" applyAlignment="1">
      <alignment vertical="center"/>
    </xf>
    <xf numFmtId="0" fontId="80" fillId="2" borderId="0" xfId="26" applyFont="1" applyFill="1" applyBorder="1" applyAlignment="1">
      <alignment vertical="center"/>
    </xf>
    <xf numFmtId="0" fontId="80" fillId="2" borderId="7" xfId="26" applyFont="1" applyFill="1" applyBorder="1" applyAlignment="1">
      <alignment horizontal="centerContinuous" vertical="center"/>
    </xf>
    <xf numFmtId="0" fontId="81" fillId="2" borderId="0" xfId="26" applyFont="1" applyFill="1" applyBorder="1" applyAlignment="1">
      <alignment horizontal="centerContinuous" vertical="center"/>
    </xf>
    <xf numFmtId="0" fontId="80" fillId="0" borderId="2" xfId="26" applyFont="1" applyBorder="1" applyAlignment="1">
      <alignment vertical="center"/>
    </xf>
    <xf numFmtId="0" fontId="77" fillId="0" borderId="31" xfId="16" applyFont="1" applyBorder="1" applyAlignment="1">
      <alignment vertical="center"/>
    </xf>
    <xf numFmtId="0" fontId="77" fillId="0" borderId="15" xfId="17" applyFont="1" applyBorder="1" applyAlignment="1">
      <alignment horizontal="center" vertical="center"/>
    </xf>
    <xf numFmtId="0" fontId="77" fillId="0" borderId="0" xfId="17" applyFont="1" applyBorder="1" applyAlignment="1">
      <alignment horizontal="center" vertical="center"/>
    </xf>
    <xf numFmtId="0" fontId="77" fillId="0" borderId="0" xfId="17" applyFont="1" applyBorder="1" applyAlignment="1">
      <alignment vertical="center"/>
    </xf>
    <xf numFmtId="0" fontId="82" fillId="2" borderId="27" xfId="26" applyFont="1" applyFill="1" applyBorder="1" applyAlignment="1">
      <alignment horizontal="left" vertical="center"/>
    </xf>
    <xf numFmtId="0" fontId="77" fillId="0" borderId="68" xfId="17" applyFont="1" applyBorder="1" applyAlignment="1">
      <alignment vertical="center"/>
    </xf>
    <xf numFmtId="0" fontId="78" fillId="0" borderId="0" xfId="17" applyFont="1" applyBorder="1" applyAlignment="1">
      <alignment vertical="center"/>
    </xf>
    <xf numFmtId="0" fontId="77" fillId="0" borderId="2" xfId="26" applyFont="1" applyBorder="1" applyAlignment="1">
      <alignment vertical="center"/>
    </xf>
    <xf numFmtId="0" fontId="77" fillId="2" borderId="0" xfId="26" applyFont="1" applyFill="1" applyBorder="1" applyAlignment="1">
      <alignment vertical="center"/>
    </xf>
    <xf numFmtId="0" fontId="83" fillId="2" borderId="41" xfId="17" applyFont="1" applyFill="1" applyBorder="1" applyAlignment="1">
      <alignment vertical="center"/>
    </xf>
    <xf numFmtId="14" fontId="77" fillId="0" borderId="72" xfId="26" quotePrefix="1" applyNumberFormat="1" applyFont="1" applyFill="1" applyBorder="1" applyAlignment="1">
      <alignment horizontal="center" vertical="center"/>
    </xf>
    <xf numFmtId="14" fontId="77" fillId="0" borderId="72" xfId="26" quotePrefix="1" applyNumberFormat="1" applyFont="1" applyFill="1" applyBorder="1" applyAlignment="1">
      <alignment vertical="center"/>
    </xf>
    <xf numFmtId="0" fontId="77" fillId="0" borderId="0" xfId="16" applyFont="1" applyBorder="1" applyAlignment="1">
      <alignment vertical="center"/>
    </xf>
    <xf numFmtId="0" fontId="80" fillId="2" borderId="0" xfId="26" applyFont="1" applyFill="1" applyBorder="1" applyAlignment="1">
      <alignment horizontal="left" vertical="center"/>
    </xf>
    <xf numFmtId="0" fontId="77" fillId="0" borderId="215" xfId="17" applyFont="1" applyBorder="1" applyAlignment="1">
      <alignment vertical="center"/>
    </xf>
    <xf numFmtId="0" fontId="80" fillId="2" borderId="216" xfId="26" applyFont="1" applyFill="1" applyBorder="1" applyAlignment="1">
      <alignment vertical="center"/>
    </xf>
    <xf numFmtId="0" fontId="80" fillId="2" borderId="217" xfId="26" applyFont="1" applyFill="1" applyBorder="1" applyAlignment="1">
      <alignment vertical="center"/>
    </xf>
    <xf numFmtId="0" fontId="83" fillId="2" borderId="218" xfId="17" applyFont="1" applyFill="1" applyBorder="1" applyAlignment="1">
      <alignment vertical="center"/>
    </xf>
    <xf numFmtId="0" fontId="83" fillId="2" borderId="155" xfId="17" applyFont="1" applyFill="1" applyBorder="1" applyAlignment="1">
      <alignment vertical="center"/>
    </xf>
    <xf numFmtId="0" fontId="77" fillId="0" borderId="155" xfId="15" applyFont="1" applyBorder="1" applyAlignment="1">
      <alignment vertical="center"/>
    </xf>
    <xf numFmtId="0" fontId="77" fillId="0" borderId="218" xfId="15" applyFont="1" applyBorder="1" applyAlignment="1">
      <alignment vertical="center"/>
    </xf>
    <xf numFmtId="0" fontId="80" fillId="40" borderId="214" xfId="26" applyFont="1" applyFill="1" applyBorder="1" applyAlignment="1">
      <alignment horizontal="centerContinuous" vertical="center"/>
    </xf>
    <xf numFmtId="172" fontId="80" fillId="41" borderId="33" xfId="26" applyNumberFormat="1" applyFont="1" applyFill="1" applyBorder="1" applyAlignment="1">
      <alignment vertical="center"/>
    </xf>
    <xf numFmtId="172" fontId="80" fillId="41" borderId="15" xfId="26" applyNumberFormat="1" applyFont="1" applyFill="1" applyBorder="1" applyAlignment="1">
      <alignment vertical="center"/>
    </xf>
    <xf numFmtId="172" fontId="80" fillId="41" borderId="219" xfId="26" applyNumberFormat="1" applyFont="1" applyFill="1" applyBorder="1" applyAlignment="1">
      <alignment vertical="center"/>
    </xf>
    <xf numFmtId="172" fontId="77" fillId="39" borderId="30" xfId="17" applyNumberFormat="1" applyFont="1" applyFill="1" applyBorder="1" applyAlignment="1">
      <alignment vertical="center"/>
    </xf>
    <xf numFmtId="172" fontId="77" fillId="39" borderId="33" xfId="17" applyNumberFormat="1" applyFont="1" applyFill="1" applyBorder="1" applyAlignment="1">
      <alignment vertical="center"/>
    </xf>
    <xf numFmtId="0" fontId="85" fillId="2" borderId="0" xfId="26" applyFont="1" applyFill="1" applyBorder="1" applyAlignment="1">
      <alignment horizontal="centerContinuous" vertical="center"/>
    </xf>
    <xf numFmtId="9" fontId="79" fillId="41" borderId="13" xfId="26" applyNumberFormat="1" applyFont="1" applyFill="1" applyBorder="1" applyAlignment="1">
      <alignment vertical="center"/>
    </xf>
    <xf numFmtId="172" fontId="79" fillId="41" borderId="72" xfId="26" applyNumberFormat="1" applyFont="1" applyFill="1" applyBorder="1" applyAlignment="1">
      <alignment vertical="center"/>
    </xf>
    <xf numFmtId="172" fontId="79" fillId="39" borderId="72" xfId="26" applyNumberFormat="1" applyFont="1" applyFill="1" applyBorder="1" applyAlignment="1">
      <alignment vertical="center"/>
    </xf>
    <xf numFmtId="172" fontId="79" fillId="39" borderId="221" xfId="26" applyNumberFormat="1" applyFont="1" applyFill="1" applyBorder="1" applyAlignment="1">
      <alignment vertical="center"/>
    </xf>
    <xf numFmtId="172" fontId="77" fillId="39" borderId="13" xfId="17" applyNumberFormat="1" applyFont="1" applyFill="1" applyBorder="1" applyAlignment="1">
      <alignment vertical="center"/>
    </xf>
    <xf numFmtId="0" fontId="79" fillId="0" borderId="222" xfId="17" applyFont="1" applyBorder="1" applyAlignment="1">
      <alignment horizontal="center" vertical="center"/>
    </xf>
    <xf numFmtId="0" fontId="79" fillId="0" borderId="223" xfId="17" applyFont="1" applyBorder="1" applyAlignment="1">
      <alignment horizontal="center" vertical="center"/>
    </xf>
    <xf numFmtId="0" fontId="79" fillId="0" borderId="224" xfId="17" applyFont="1" applyBorder="1" applyAlignment="1">
      <alignment horizontal="center" vertical="center"/>
    </xf>
    <xf numFmtId="0" fontId="79" fillId="0" borderId="200" xfId="17" applyFont="1" applyBorder="1" applyAlignment="1">
      <alignment horizontal="center" vertical="center"/>
    </xf>
    <xf numFmtId="0" fontId="86" fillId="0" borderId="0" xfId="17" applyFont="1" applyBorder="1" applyAlignment="1">
      <alignment horizontal="center" vertical="center"/>
    </xf>
    <xf numFmtId="3" fontId="79" fillId="0" borderId="81" xfId="17" applyNumberFormat="1" applyFont="1" applyBorder="1" applyAlignment="1">
      <alignment horizontal="center" vertical="center"/>
    </xf>
    <xf numFmtId="3" fontId="79" fillId="0" borderId="86" xfId="17" applyNumberFormat="1" applyFont="1" applyBorder="1" applyAlignment="1">
      <alignment horizontal="center" vertical="center"/>
    </xf>
    <xf numFmtId="3" fontId="86" fillId="0" borderId="0" xfId="17" applyNumberFormat="1" applyFont="1" applyBorder="1" applyAlignment="1">
      <alignment horizontal="center" vertical="center"/>
    </xf>
    <xf numFmtId="0" fontId="79" fillId="0" borderId="140" xfId="17" applyFont="1" applyBorder="1" applyAlignment="1">
      <alignment horizontal="center" vertical="center"/>
    </xf>
    <xf numFmtId="0" fontId="77" fillId="0" borderId="129" xfId="17" applyFont="1" applyBorder="1" applyAlignment="1">
      <alignment vertical="center"/>
    </xf>
    <xf numFmtId="3" fontId="79" fillId="0" borderId="143" xfId="17" applyNumberFormat="1" applyFont="1" applyFill="1" applyBorder="1" applyAlignment="1">
      <alignment vertical="center"/>
    </xf>
    <xf numFmtId="3" fontId="86" fillId="6" borderId="0" xfId="17" applyNumberFormat="1" applyFont="1" applyFill="1" applyBorder="1" applyAlignment="1">
      <alignment vertical="center"/>
    </xf>
    <xf numFmtId="0" fontId="79" fillId="0" borderId="141" xfId="17" applyFont="1" applyBorder="1" applyAlignment="1">
      <alignment horizontal="center" vertical="center"/>
    </xf>
    <xf numFmtId="0" fontId="77" fillId="0" borderId="131" xfId="17" applyFont="1" applyBorder="1" applyAlignment="1">
      <alignment vertical="center"/>
    </xf>
    <xf numFmtId="3" fontId="79" fillId="0" borderId="144" xfId="17" applyNumberFormat="1" applyFont="1" applyFill="1" applyBorder="1" applyAlignment="1">
      <alignment vertical="center"/>
    </xf>
    <xf numFmtId="3" fontId="86" fillId="13" borderId="0" xfId="17" applyNumberFormat="1" applyFont="1" applyFill="1" applyBorder="1" applyAlignment="1">
      <alignment vertical="center"/>
    </xf>
    <xf numFmtId="0" fontId="78" fillId="6" borderId="0" xfId="17" applyFont="1" applyFill="1" applyAlignment="1">
      <alignment vertical="center"/>
    </xf>
    <xf numFmtId="0" fontId="79" fillId="0" borderId="23" xfId="17" applyFont="1" applyBorder="1" applyAlignment="1">
      <alignment horizontal="center" vertical="center"/>
    </xf>
    <xf numFmtId="0" fontId="80" fillId="0" borderId="126" xfId="17" applyFont="1" applyBorder="1" applyAlignment="1">
      <alignment horizontal="right" vertical="center"/>
    </xf>
    <xf numFmtId="3" fontId="79" fillId="0" borderId="127" xfId="17" applyNumberFormat="1" applyFont="1" applyFill="1" applyBorder="1" applyAlignment="1">
      <alignment vertical="center"/>
    </xf>
    <xf numFmtId="0" fontId="3" fillId="0" borderId="0" xfId="26" applyAlignment="1"/>
    <xf numFmtId="3" fontId="86" fillId="13" borderId="226" xfId="17" applyNumberFormat="1" applyFont="1" applyFill="1" applyBorder="1" applyAlignment="1">
      <alignment vertical="center"/>
    </xf>
    <xf numFmtId="3" fontId="79" fillId="0" borderId="204" xfId="19" applyNumberFormat="1" applyFont="1" applyBorder="1" applyAlignment="1">
      <alignment vertical="center"/>
    </xf>
    <xf numFmtId="3" fontId="79" fillId="0" borderId="199" xfId="19" applyNumberFormat="1" applyFont="1" applyBorder="1" applyAlignment="1">
      <alignment vertical="center"/>
    </xf>
    <xf numFmtId="3" fontId="79" fillId="0" borderId="73" xfId="17" applyNumberFormat="1" applyFont="1" applyFill="1" applyBorder="1" applyAlignment="1">
      <alignment horizontal="center" vertical="center"/>
    </xf>
    <xf numFmtId="3" fontId="79" fillId="39" borderId="183" xfId="17" applyNumberFormat="1" applyFont="1" applyFill="1" applyBorder="1" applyAlignment="1">
      <alignment horizontal="center" vertical="center"/>
    </xf>
    <xf numFmtId="3" fontId="86" fillId="35" borderId="0" xfId="17" applyNumberFormat="1" applyFont="1" applyFill="1" applyBorder="1" applyAlignment="1">
      <alignment horizontal="center" vertical="center"/>
    </xf>
    <xf numFmtId="0" fontId="77" fillId="0" borderId="225" xfId="17" applyFont="1" applyBorder="1" applyAlignment="1">
      <alignment vertical="center"/>
    </xf>
    <xf numFmtId="3" fontId="86" fillId="0" borderId="0" xfId="17" applyNumberFormat="1" applyFont="1" applyBorder="1" applyAlignment="1">
      <alignment vertical="center"/>
    </xf>
    <xf numFmtId="3" fontId="79" fillId="0" borderId="227" xfId="17" applyNumberFormat="1" applyFont="1" applyFill="1" applyBorder="1" applyAlignment="1">
      <alignment vertical="center"/>
    </xf>
    <xf numFmtId="0" fontId="79" fillId="0" borderId="0" xfId="17" applyFont="1" applyBorder="1" applyAlignment="1">
      <alignment horizontal="center" vertical="center"/>
    </xf>
    <xf numFmtId="0" fontId="80" fillId="0" borderId="11" xfId="17" applyFont="1" applyBorder="1" applyAlignment="1">
      <alignment horizontal="right" vertical="center"/>
    </xf>
    <xf numFmtId="3" fontId="79" fillId="0" borderId="81" xfId="17" applyNumberFormat="1" applyFont="1" applyFill="1" applyBorder="1" applyAlignment="1">
      <alignment vertical="center"/>
    </xf>
    <xf numFmtId="3" fontId="2" fillId="35" borderId="0" xfId="1" applyNumberFormat="1" applyFont="1" applyFill="1" applyAlignment="1"/>
    <xf numFmtId="3" fontId="86" fillId="13" borderId="88" xfId="17" applyNumberFormat="1" applyFont="1" applyFill="1" applyBorder="1" applyAlignment="1">
      <alignment vertical="center"/>
    </xf>
    <xf numFmtId="3" fontId="79" fillId="8" borderId="183" xfId="17" applyNumberFormat="1" applyFont="1" applyFill="1" applyBorder="1" applyAlignment="1">
      <alignment horizontal="center" vertical="center"/>
    </xf>
    <xf numFmtId="3" fontId="86" fillId="6" borderId="228" xfId="17" applyNumberFormat="1" applyFont="1" applyFill="1" applyBorder="1" applyAlignment="1">
      <alignment vertical="center"/>
    </xf>
    <xf numFmtId="0" fontId="78" fillId="0" borderId="228" xfId="17" applyFont="1" applyBorder="1" applyAlignment="1">
      <alignment vertical="center"/>
    </xf>
    <xf numFmtId="3" fontId="79" fillId="0" borderId="229" xfId="17" applyNumberFormat="1" applyFont="1" applyFill="1" applyBorder="1" applyAlignment="1">
      <alignment vertical="center"/>
    </xf>
    <xf numFmtId="0" fontId="79" fillId="0" borderId="142" xfId="17" applyFont="1" applyBorder="1" applyAlignment="1">
      <alignment horizontal="center" vertical="center"/>
    </xf>
    <xf numFmtId="0" fontId="77" fillId="0" borderId="133" xfId="17" applyFont="1" applyBorder="1" applyAlignment="1">
      <alignment vertical="center"/>
    </xf>
    <xf numFmtId="3" fontId="79" fillId="0" borderId="145" xfId="17" applyNumberFormat="1" applyFont="1" applyFill="1" applyBorder="1" applyAlignment="1">
      <alignment vertical="center"/>
    </xf>
    <xf numFmtId="3" fontId="79" fillId="0" borderId="116" xfId="17" applyNumberFormat="1" applyFont="1" applyFill="1" applyBorder="1" applyAlignment="1">
      <alignment vertical="center"/>
    </xf>
    <xf numFmtId="3" fontId="2" fillId="0" borderId="0" xfId="1" applyNumberFormat="1" applyFont="1" applyAlignment="1"/>
    <xf numFmtId="3" fontId="79" fillId="0" borderId="11" xfId="19" applyNumberFormat="1" applyFont="1" applyBorder="1" applyAlignment="1">
      <alignment vertical="center"/>
    </xf>
    <xf numFmtId="3" fontId="79" fillId="0" borderId="81" xfId="17" applyNumberFormat="1" applyFont="1" applyFill="1" applyBorder="1" applyAlignment="1">
      <alignment horizontal="center" vertical="center"/>
    </xf>
    <xf numFmtId="3" fontId="79" fillId="8" borderId="86" xfId="17" applyNumberFormat="1" applyFont="1" applyFill="1" applyBorder="1" applyAlignment="1">
      <alignment horizontal="center" vertical="center"/>
    </xf>
    <xf numFmtId="0" fontId="77" fillId="0" borderId="223" xfId="17" applyFont="1" applyBorder="1" applyAlignment="1">
      <alignment vertical="center"/>
    </xf>
    <xf numFmtId="3" fontId="79" fillId="0" borderId="230" xfId="17" applyNumberFormat="1" applyFont="1" applyFill="1" applyBorder="1" applyAlignment="1">
      <alignment vertical="center"/>
    </xf>
    <xf numFmtId="3" fontId="79" fillId="0" borderId="86" xfId="17" applyNumberFormat="1" applyFont="1" applyFill="1" applyBorder="1" applyAlignment="1">
      <alignment vertical="center"/>
    </xf>
    <xf numFmtId="3" fontId="79" fillId="0" borderId="160" xfId="17" applyNumberFormat="1" applyFont="1" applyFill="1" applyBorder="1" applyAlignment="1">
      <alignment vertical="center"/>
    </xf>
    <xf numFmtId="3" fontId="79" fillId="0" borderId="28" xfId="17" applyNumberFormat="1" applyFont="1" applyFill="1" applyBorder="1" applyAlignment="1">
      <alignment vertical="center"/>
    </xf>
    <xf numFmtId="3" fontId="79" fillId="0" borderId="115" xfId="17" applyNumberFormat="1" applyFont="1" applyFill="1" applyBorder="1" applyAlignment="1">
      <alignment vertical="center"/>
    </xf>
    <xf numFmtId="3" fontId="79" fillId="0" borderId="231" xfId="17" applyNumberFormat="1" applyFont="1" applyFill="1" applyBorder="1" applyAlignment="1">
      <alignment vertical="center"/>
    </xf>
    <xf numFmtId="0" fontId="77" fillId="39" borderId="131" xfId="17" applyFont="1" applyFill="1" applyBorder="1" applyAlignment="1">
      <alignment vertical="center"/>
    </xf>
    <xf numFmtId="3" fontId="79" fillId="0" borderId="183" xfId="17" applyNumberFormat="1" applyFont="1" applyFill="1" applyBorder="1" applyAlignment="1">
      <alignment horizontal="center" vertical="center"/>
    </xf>
    <xf numFmtId="3" fontId="79" fillId="35" borderId="115" xfId="17" applyNumberFormat="1" applyFont="1" applyFill="1" applyBorder="1" applyAlignment="1">
      <alignment vertical="center"/>
    </xf>
    <xf numFmtId="0" fontId="79" fillId="0" borderId="22" xfId="17" applyFont="1" applyBorder="1" applyAlignment="1">
      <alignment horizontal="center" vertical="center"/>
    </xf>
    <xf numFmtId="0" fontId="80" fillId="0" borderId="30" xfId="17" applyFont="1" applyBorder="1" applyAlignment="1">
      <alignment horizontal="right" vertical="center"/>
    </xf>
    <xf numFmtId="3" fontId="86" fillId="35" borderId="0" xfId="17" applyNumberFormat="1" applyFont="1" applyFill="1" applyBorder="1" applyAlignment="1">
      <alignment vertical="center"/>
    </xf>
    <xf numFmtId="0" fontId="77" fillId="0" borderId="232" xfId="17" applyFont="1" applyBorder="1" applyAlignment="1">
      <alignment vertical="center"/>
    </xf>
    <xf numFmtId="0" fontId="77" fillId="0" borderId="137" xfId="17" applyFont="1" applyBorder="1" applyAlignment="1">
      <alignment vertical="center"/>
    </xf>
    <xf numFmtId="10" fontId="2" fillId="8" borderId="0" xfId="21" applyFont="1" applyFill="1" applyBorder="1" applyAlignment="1">
      <alignment vertical="center"/>
    </xf>
    <xf numFmtId="3" fontId="79" fillId="8" borderId="0" xfId="17" applyNumberFormat="1" applyFont="1" applyFill="1" applyBorder="1" applyAlignment="1">
      <alignment vertical="center"/>
    </xf>
    <xf numFmtId="0" fontId="77" fillId="0" borderId="15" xfId="26" applyFont="1" applyBorder="1" applyAlignment="1">
      <alignment vertical="center"/>
    </xf>
    <xf numFmtId="0" fontId="77" fillId="0" borderId="31" xfId="26" applyFont="1" applyBorder="1" applyAlignment="1">
      <alignment vertical="center"/>
    </xf>
    <xf numFmtId="0" fontId="77" fillId="0" borderId="33" xfId="26" applyFont="1" applyBorder="1" applyAlignment="1">
      <alignment vertical="center"/>
    </xf>
    <xf numFmtId="3" fontId="77" fillId="0" borderId="0" xfId="19" applyNumberFormat="1" applyFont="1" applyAlignment="1">
      <alignment vertical="center"/>
    </xf>
    <xf numFmtId="3" fontId="77" fillId="13" borderId="0" xfId="17" applyNumberFormat="1" applyFont="1" applyFill="1" applyAlignment="1">
      <alignment vertical="center"/>
    </xf>
    <xf numFmtId="0" fontId="77" fillId="0" borderId="74" xfId="26" applyFont="1" applyBorder="1" applyAlignment="1">
      <alignment vertical="center"/>
    </xf>
    <xf numFmtId="0" fontId="77" fillId="0" borderId="30" xfId="26" applyFont="1" applyBorder="1" applyAlignment="1">
      <alignment vertical="center"/>
    </xf>
    <xf numFmtId="0" fontId="77" fillId="0" borderId="16" xfId="26" applyFont="1" applyBorder="1" applyAlignment="1">
      <alignment vertical="center"/>
    </xf>
    <xf numFmtId="0" fontId="88" fillId="0" borderId="22" xfId="10" applyFont="1" applyFill="1" applyBorder="1"/>
    <xf numFmtId="3" fontId="37" fillId="0" borderId="0" xfId="19" applyNumberFormat="1" applyFont="1"/>
    <xf numFmtId="3" fontId="63" fillId="0" borderId="0" xfId="19" applyNumberFormat="1" applyFont="1"/>
    <xf numFmtId="0" fontId="89" fillId="0" borderId="0" xfId="16" applyFont="1"/>
    <xf numFmtId="0" fontId="63" fillId="0" borderId="0" xfId="19" applyFont="1"/>
    <xf numFmtId="3" fontId="89" fillId="0" borderId="14" xfId="19" applyNumberFormat="1" applyFont="1" applyBorder="1"/>
    <xf numFmtId="3" fontId="63" fillId="0" borderId="14" xfId="19" applyNumberFormat="1" applyFont="1" applyBorder="1"/>
    <xf numFmtId="0" fontId="63" fillId="0" borderId="14" xfId="19" applyFont="1" applyBorder="1"/>
    <xf numFmtId="0" fontId="63" fillId="0" borderId="72" xfId="19" applyFont="1" applyBorder="1"/>
    <xf numFmtId="0" fontId="37" fillId="0" borderId="0" xfId="19" applyFont="1"/>
    <xf numFmtId="3" fontId="36" fillId="0" borderId="87" xfId="19" applyNumberFormat="1" applyFont="1" applyBorder="1"/>
    <xf numFmtId="3" fontId="36" fillId="0" borderId="0" xfId="19" applyNumberFormat="1" applyFont="1" applyBorder="1"/>
    <xf numFmtId="3" fontId="63" fillId="0" borderId="0" xfId="19" applyNumberFormat="1" applyFont="1" applyBorder="1"/>
    <xf numFmtId="3" fontId="89" fillId="0" borderId="0" xfId="19" applyNumberFormat="1" applyFont="1" applyBorder="1"/>
    <xf numFmtId="0" fontId="5" fillId="0" borderId="0" xfId="26" applyFont="1" applyAlignment="1"/>
    <xf numFmtId="0" fontId="63" fillId="0" borderId="81" xfId="19" applyFont="1" applyBorder="1"/>
    <xf numFmtId="3" fontId="37" fillId="0" borderId="87" xfId="19" applyNumberFormat="1" applyFont="1" applyBorder="1" applyAlignment="1">
      <alignment horizontal="center"/>
    </xf>
    <xf numFmtId="3" fontId="37" fillId="0" borderId="0" xfId="19" applyNumberFormat="1" applyFont="1" applyBorder="1" applyAlignment="1">
      <alignment horizontal="center"/>
    </xf>
    <xf numFmtId="3" fontId="37" fillId="0" borderId="29" xfId="19" applyNumberFormat="1" applyFont="1" applyBorder="1" applyAlignment="1">
      <alignment horizontal="center"/>
    </xf>
    <xf numFmtId="3" fontId="37" fillId="0" borderId="30" xfId="19" applyNumberFormat="1" applyFont="1" applyBorder="1" applyAlignment="1">
      <alignment horizontal="center"/>
    </xf>
    <xf numFmtId="3" fontId="63" fillId="0" borderId="15" xfId="19" applyNumberFormat="1" applyFont="1" applyBorder="1" applyAlignment="1">
      <alignment horizontal="center"/>
    </xf>
    <xf numFmtId="3" fontId="63" fillId="0" borderId="0" xfId="19" applyNumberFormat="1" applyFont="1" applyBorder="1" applyAlignment="1">
      <alignment horizontal="center"/>
    </xf>
    <xf numFmtId="0" fontId="88" fillId="2" borderId="0" xfId="26" applyFont="1" applyFill="1" applyBorder="1" applyAlignment="1">
      <alignment horizontal="left"/>
    </xf>
    <xf numFmtId="0" fontId="63" fillId="0" borderId="0" xfId="19" applyFont="1" applyBorder="1"/>
    <xf numFmtId="0" fontId="63" fillId="0" borderId="81" xfId="19" applyFont="1" applyBorder="1" applyAlignment="1">
      <alignment horizontal="center"/>
    </xf>
    <xf numFmtId="0" fontId="63" fillId="0" borderId="0" xfId="19" applyFont="1" applyAlignment="1">
      <alignment horizontal="center"/>
    </xf>
    <xf numFmtId="0" fontId="37" fillId="0" borderId="0" xfId="19" applyFont="1" applyAlignment="1">
      <alignment horizontal="center"/>
    </xf>
    <xf numFmtId="3" fontId="37" fillId="0" borderId="87" xfId="19" applyNumberFormat="1" applyFont="1" applyBorder="1"/>
    <xf numFmtId="3" fontId="37" fillId="0" borderId="0" xfId="19" applyNumberFormat="1" applyFont="1" applyBorder="1"/>
    <xf numFmtId="3" fontId="37" fillId="0" borderId="31" xfId="19" applyNumberFormat="1" applyFont="1" applyBorder="1"/>
    <xf numFmtId="3" fontId="37" fillId="0" borderId="32" xfId="19" applyNumberFormat="1" applyFont="1" applyBorder="1"/>
    <xf numFmtId="14" fontId="63" fillId="0" borderId="15" xfId="26" quotePrefix="1" applyNumberFormat="1" applyFont="1" applyFill="1" applyBorder="1" applyAlignment="1">
      <alignment horizontal="center"/>
    </xf>
    <xf numFmtId="14" fontId="63" fillId="0" borderId="15" xfId="26" quotePrefix="1" applyNumberFormat="1" applyFont="1" applyFill="1" applyBorder="1" applyAlignment="1"/>
    <xf numFmtId="3" fontId="63" fillId="0" borderId="32" xfId="19" applyNumberFormat="1" applyFont="1" applyBorder="1"/>
    <xf numFmtId="3" fontId="63" fillId="0" borderId="33" xfId="19" applyNumberFormat="1" applyFont="1" applyBorder="1"/>
    <xf numFmtId="3" fontId="37" fillId="0" borderId="74" xfId="19" applyNumberFormat="1" applyFont="1" applyBorder="1"/>
    <xf numFmtId="3" fontId="37" fillId="0" borderId="29" xfId="19" applyNumberFormat="1" applyFont="1" applyBorder="1"/>
    <xf numFmtId="3" fontId="63" fillId="0" borderId="15" xfId="19" applyNumberFormat="1" applyFont="1" applyBorder="1"/>
    <xf numFmtId="3" fontId="63" fillId="0" borderId="29" xfId="19" applyNumberFormat="1" applyFont="1" applyBorder="1"/>
    <xf numFmtId="0" fontId="63" fillId="0" borderId="29" xfId="19" applyFont="1" applyBorder="1"/>
    <xf numFmtId="3" fontId="37" fillId="0" borderId="22" xfId="19" applyNumberFormat="1" applyFont="1" applyBorder="1"/>
    <xf numFmtId="3" fontId="63" fillId="0" borderId="81" xfId="19" applyNumberFormat="1" applyFont="1" applyBorder="1"/>
    <xf numFmtId="3" fontId="36" fillId="0" borderId="41" xfId="19" applyNumberFormat="1" applyFont="1" applyBorder="1"/>
    <xf numFmtId="3" fontId="36" fillId="0" borderId="14" xfId="19" applyNumberFormat="1" applyFont="1" applyBorder="1"/>
    <xf numFmtId="49" fontId="36" fillId="0" borderId="72" xfId="19" applyNumberFormat="1" applyFont="1" applyBorder="1" applyAlignment="1">
      <alignment horizontal="center"/>
    </xf>
    <xf numFmtId="49" fontId="36" fillId="0" borderId="41" xfId="19" applyNumberFormat="1" applyFont="1" applyBorder="1" applyAlignment="1">
      <alignment horizontal="center"/>
    </xf>
    <xf numFmtId="3" fontId="36" fillId="0" borderId="0" xfId="19" applyNumberFormat="1" applyFont="1"/>
    <xf numFmtId="3" fontId="36" fillId="0" borderId="74" xfId="19" applyNumberFormat="1" applyFont="1" applyBorder="1"/>
    <xf numFmtId="3" fontId="36" fillId="0" borderId="29" xfId="19" applyNumberFormat="1" applyFont="1" applyBorder="1"/>
    <xf numFmtId="49" fontId="36" fillId="0" borderId="16" xfId="19" applyNumberFormat="1" applyFont="1" applyBorder="1" applyAlignment="1">
      <alignment horizontal="center" wrapText="1"/>
    </xf>
    <xf numFmtId="49" fontId="36" fillId="0" borderId="74" xfId="19" applyNumberFormat="1" applyFont="1" applyBorder="1" applyAlignment="1">
      <alignment horizontal="center" wrapText="1"/>
    </xf>
    <xf numFmtId="49" fontId="89" fillId="0" borderId="0" xfId="19" applyNumberFormat="1" applyFont="1" applyBorder="1" applyAlignment="1">
      <alignment horizontal="center" wrapText="1"/>
    </xf>
    <xf numFmtId="49" fontId="90" fillId="0" borderId="0" xfId="19" applyNumberFormat="1" applyFont="1" applyBorder="1" applyAlignment="1">
      <alignment horizontal="center" wrapText="1"/>
    </xf>
    <xf numFmtId="49" fontId="90" fillId="0" borderId="0" xfId="19" applyNumberFormat="1" applyFont="1" applyBorder="1" applyAlignment="1">
      <alignment horizontal="center"/>
    </xf>
    <xf numFmtId="49" fontId="90" fillId="0" borderId="0" xfId="19" applyNumberFormat="1" applyFont="1" applyAlignment="1">
      <alignment horizontal="center"/>
    </xf>
    <xf numFmtId="3" fontId="36" fillId="0" borderId="85" xfId="19" applyNumberFormat="1" applyFont="1" applyBorder="1"/>
    <xf numFmtId="3" fontId="36" fillId="0" borderId="34" xfId="19" applyNumberFormat="1" applyFont="1" applyBorder="1"/>
    <xf numFmtId="3" fontId="89" fillId="8" borderId="35" xfId="19" applyNumberFormat="1" applyFont="1" applyFill="1" applyBorder="1"/>
    <xf numFmtId="3" fontId="89" fillId="32" borderId="35" xfId="19" applyNumberFormat="1" applyFont="1" applyFill="1" applyBorder="1"/>
    <xf numFmtId="3" fontId="89" fillId="32" borderId="81" xfId="19" applyNumberFormat="1" applyFont="1" applyFill="1" applyBorder="1"/>
    <xf numFmtId="3" fontId="89" fillId="8" borderId="0" xfId="19" applyNumberFormat="1" applyFont="1" applyFill="1"/>
    <xf numFmtId="3" fontId="36" fillId="6" borderId="89" xfId="19" applyNumberFormat="1" applyFont="1" applyFill="1" applyBorder="1"/>
    <xf numFmtId="3" fontId="36" fillId="6" borderId="38" xfId="19" applyNumberFormat="1" applyFont="1" applyFill="1" applyBorder="1"/>
    <xf numFmtId="3" fontId="89" fillId="8" borderId="81" xfId="19" applyNumberFormat="1" applyFont="1" applyFill="1" applyBorder="1"/>
    <xf numFmtId="3" fontId="89" fillId="0" borderId="0" xfId="19" applyNumberFormat="1" applyFont="1"/>
    <xf numFmtId="3" fontId="37" fillId="0" borderId="89" xfId="19" applyNumberFormat="1" applyFont="1" applyBorder="1"/>
    <xf numFmtId="3" fontId="37" fillId="0" borderId="38" xfId="19" applyNumberFormat="1" applyFont="1" applyBorder="1"/>
    <xf numFmtId="3" fontId="36" fillId="0" borderId="89" xfId="19" applyNumberFormat="1" applyFont="1" applyBorder="1"/>
    <xf numFmtId="3" fontId="36" fillId="0" borderId="38" xfId="19" applyNumberFormat="1" applyFont="1" applyBorder="1"/>
    <xf numFmtId="3" fontId="37" fillId="0" borderId="233" xfId="19" applyNumberFormat="1" applyFont="1" applyBorder="1"/>
    <xf numFmtId="3" fontId="37" fillId="0" borderId="234" xfId="19" applyNumberFormat="1" applyFont="1" applyBorder="1"/>
    <xf numFmtId="3" fontId="37" fillId="0" borderId="235" xfId="19" applyNumberFormat="1" applyFont="1" applyBorder="1"/>
    <xf numFmtId="3" fontId="36" fillId="6" borderId="85" xfId="19" applyNumberFormat="1" applyFont="1" applyFill="1" applyBorder="1"/>
    <xf numFmtId="3" fontId="36" fillId="6" borderId="34" xfId="19" applyNumberFormat="1" applyFont="1" applyFill="1" applyBorder="1"/>
    <xf numFmtId="0" fontId="63" fillId="0" borderId="15" xfId="26" applyFont="1" applyBorder="1" applyAlignment="1"/>
    <xf numFmtId="0" fontId="37" fillId="0" borderId="0" xfId="26" applyFont="1" applyBorder="1" applyAlignment="1">
      <alignment vertical="center" wrapText="1"/>
    </xf>
    <xf numFmtId="0" fontId="63" fillId="0" borderId="0" xfId="26" applyFont="1" applyBorder="1" applyAlignment="1"/>
    <xf numFmtId="0" fontId="63" fillId="0" borderId="0" xfId="26" applyFont="1" applyBorder="1" applyAlignment="1">
      <alignment vertical="center" wrapText="1"/>
    </xf>
    <xf numFmtId="0" fontId="77" fillId="0" borderId="135" xfId="17" applyFont="1" applyBorder="1" applyAlignment="1">
      <alignment vertical="center"/>
    </xf>
    <xf numFmtId="0" fontId="77" fillId="32" borderId="131" xfId="17" applyFont="1" applyFill="1" applyBorder="1" applyAlignment="1">
      <alignment vertical="center"/>
    </xf>
    <xf numFmtId="3" fontId="77" fillId="32" borderId="131" xfId="17" applyNumberFormat="1" applyFont="1" applyFill="1" applyBorder="1" applyAlignment="1">
      <alignment vertical="center"/>
    </xf>
    <xf numFmtId="3" fontId="79" fillId="0" borderId="22" xfId="19" applyNumberFormat="1" applyFont="1" applyBorder="1" applyAlignment="1">
      <alignment vertical="center"/>
    </xf>
    <xf numFmtId="0" fontId="79" fillId="0" borderId="135" xfId="17" applyFont="1" applyBorder="1" applyAlignment="1">
      <alignment horizontal="center" vertical="center"/>
    </xf>
    <xf numFmtId="0" fontId="77" fillId="32" borderId="129" xfId="17" applyFont="1" applyFill="1" applyBorder="1" applyAlignment="1">
      <alignment vertical="center"/>
    </xf>
    <xf numFmtId="3" fontId="79" fillId="0" borderId="129" xfId="17" applyNumberFormat="1" applyFont="1" applyFill="1" applyBorder="1" applyAlignment="1">
      <alignment vertical="center"/>
    </xf>
    <xf numFmtId="0" fontId="79" fillId="0" borderId="137" xfId="17" applyFont="1" applyBorder="1" applyAlignment="1">
      <alignment horizontal="center" vertical="center"/>
    </xf>
    <xf numFmtId="3" fontId="79" fillId="0" borderId="131" xfId="17" applyNumberFormat="1" applyFont="1" applyFill="1" applyBorder="1" applyAlignment="1">
      <alignment vertical="center"/>
    </xf>
    <xf numFmtId="0" fontId="79" fillId="0" borderId="139" xfId="17" applyFont="1" applyBorder="1" applyAlignment="1">
      <alignment horizontal="center" vertical="center"/>
    </xf>
    <xf numFmtId="3" fontId="77" fillId="32" borderId="133" xfId="17" applyNumberFormat="1" applyFont="1" applyFill="1" applyBorder="1" applyAlignment="1">
      <alignment vertical="center"/>
    </xf>
    <xf numFmtId="3" fontId="79" fillId="0" borderId="133" xfId="17" applyNumberFormat="1" applyFont="1" applyFill="1" applyBorder="1" applyAlignment="1">
      <alignment vertical="center"/>
    </xf>
    <xf numFmtId="3" fontId="79" fillId="0" borderId="25" xfId="19" applyNumberFormat="1" applyFont="1" applyBorder="1" applyAlignment="1">
      <alignment vertical="center"/>
    </xf>
    <xf numFmtId="3" fontId="79" fillId="0" borderId="19" xfId="19" applyNumberFormat="1" applyFont="1" applyBorder="1" applyAlignment="1">
      <alignment vertical="center"/>
    </xf>
    <xf numFmtId="0" fontId="77" fillId="0" borderId="139" xfId="17" applyFont="1" applyBorder="1" applyAlignment="1">
      <alignment vertical="center"/>
    </xf>
    <xf numFmtId="3" fontId="77" fillId="8" borderId="236" xfId="17" applyNumberFormat="1" applyFont="1" applyFill="1" applyBorder="1" applyAlignment="1">
      <alignment vertical="center"/>
    </xf>
    <xf numFmtId="3" fontId="79" fillId="10" borderId="24" xfId="17" applyNumberFormat="1" applyFont="1" applyFill="1" applyBorder="1" applyAlignment="1">
      <alignment vertical="center"/>
    </xf>
    <xf numFmtId="3" fontId="79" fillId="10" borderId="237" xfId="17" applyNumberFormat="1" applyFont="1" applyFill="1" applyBorder="1" applyAlignment="1">
      <alignment vertical="center"/>
    </xf>
    <xf numFmtId="0" fontId="79" fillId="0" borderId="232" xfId="17" applyFont="1" applyBorder="1" applyAlignment="1">
      <alignment horizontal="center" vertical="center"/>
    </xf>
    <xf numFmtId="3" fontId="79" fillId="10" borderId="236" xfId="17" applyNumberFormat="1" applyFont="1" applyFill="1" applyBorder="1" applyAlignment="1">
      <alignment vertical="center"/>
    </xf>
    <xf numFmtId="3" fontId="79" fillId="10" borderId="30" xfId="17" applyNumberFormat="1" applyFont="1" applyFill="1" applyBorder="1" applyAlignment="1">
      <alignment vertical="center"/>
    </xf>
    <xf numFmtId="0" fontId="79" fillId="0" borderId="74" xfId="17" applyFont="1" applyBorder="1" applyAlignment="1">
      <alignment horizontal="center" vertical="center"/>
    </xf>
    <xf numFmtId="0" fontId="77" fillId="32" borderId="133" xfId="17" applyFont="1" applyFill="1" applyBorder="1" applyAlignment="1">
      <alignment vertical="center"/>
    </xf>
    <xf numFmtId="3" fontId="87" fillId="10" borderId="238" xfId="17" applyNumberFormat="1" applyFont="1" applyFill="1" applyBorder="1" applyAlignment="1">
      <alignment vertical="center"/>
    </xf>
    <xf numFmtId="0" fontId="91" fillId="0" borderId="0" xfId="27" applyFont="1" applyAlignment="1">
      <alignment vertical="top"/>
    </xf>
    <xf numFmtId="0" fontId="76" fillId="0" borderId="0" xfId="27" applyFont="1" applyAlignment="1">
      <alignment vertical="top" wrapText="1"/>
    </xf>
    <xf numFmtId="0" fontId="76" fillId="0" borderId="0" xfId="27" applyFont="1" applyAlignment="1">
      <alignment vertical="top"/>
    </xf>
    <xf numFmtId="49" fontId="76" fillId="0" borderId="0" xfId="27" applyNumberFormat="1" applyFont="1" applyAlignment="1">
      <alignment vertical="top"/>
    </xf>
    <xf numFmtId="173" fontId="63" fillId="0" borderId="15" xfId="28" applyNumberFormat="1" applyFont="1" applyFill="1" applyBorder="1" applyAlignment="1">
      <alignment vertical="top"/>
    </xf>
    <xf numFmtId="49" fontId="37" fillId="0" borderId="15" xfId="28" applyNumberFormat="1" applyFont="1" applyFill="1" applyBorder="1" applyAlignment="1">
      <alignment horizontal="center" vertical="top" wrapText="1"/>
    </xf>
    <xf numFmtId="0" fontId="37" fillId="0" borderId="15" xfId="28" applyNumberFormat="1" applyFont="1" applyFill="1" applyBorder="1" applyAlignment="1">
      <alignment horizontal="center" vertical="top" wrapText="1"/>
    </xf>
    <xf numFmtId="0" fontId="37" fillId="0" borderId="15" xfId="27" applyNumberFormat="1" applyFont="1" applyFill="1" applyBorder="1" applyAlignment="1">
      <alignment horizontal="center" vertical="top"/>
    </xf>
    <xf numFmtId="49" fontId="63" fillId="0" borderId="15" xfId="28" applyNumberFormat="1" applyFont="1" applyFill="1" applyBorder="1" applyAlignment="1">
      <alignment horizontal="center" vertical="top"/>
    </xf>
    <xf numFmtId="173" fontId="63" fillId="0" borderId="15" xfId="11" applyNumberFormat="1" applyFont="1" applyFill="1" applyBorder="1" applyAlignment="1">
      <alignment horizontal="center" vertical="top" wrapText="1"/>
    </xf>
    <xf numFmtId="43" fontId="36" fillId="0" borderId="15" xfId="28" applyFont="1" applyFill="1" applyBorder="1" applyAlignment="1">
      <alignment vertical="top" wrapText="1"/>
    </xf>
    <xf numFmtId="43" fontId="37" fillId="0" borderId="15" xfId="28" applyFont="1" applyFill="1" applyBorder="1" applyAlignment="1">
      <alignment vertical="top" wrapText="1"/>
    </xf>
    <xf numFmtId="173" fontId="89" fillId="0" borderId="15" xfId="28" applyNumberFormat="1" applyFont="1" applyFill="1" applyBorder="1" applyAlignment="1">
      <alignment vertical="top"/>
    </xf>
    <xf numFmtId="0" fontId="36" fillId="0" borderId="15" xfId="11" applyFont="1" applyFill="1" applyBorder="1" applyAlignment="1">
      <alignment horizontal="left" vertical="top" wrapText="1"/>
    </xf>
    <xf numFmtId="0" fontId="37" fillId="0" borderId="15" xfId="27" applyFont="1" applyFill="1" applyBorder="1" applyAlignment="1">
      <alignment horizontal="center" vertical="top"/>
    </xf>
    <xf numFmtId="49" fontId="38" fillId="0" borderId="15" xfId="27" applyNumberFormat="1" applyFont="1" applyFill="1" applyBorder="1" applyAlignment="1">
      <alignment horizontal="center" vertical="top"/>
    </xf>
    <xf numFmtId="0" fontId="37" fillId="0" borderId="15" xfId="28" applyNumberFormat="1" applyFont="1" applyFill="1" applyBorder="1" applyAlignment="1">
      <alignment vertical="top" wrapText="1"/>
    </xf>
    <xf numFmtId="0" fontId="37" fillId="0" borderId="15" xfId="27" applyFont="1" applyFill="1" applyBorder="1" applyAlignment="1">
      <alignment vertical="top" wrapText="1"/>
    </xf>
    <xf numFmtId="0" fontId="91" fillId="0" borderId="0" xfId="27" applyFont="1" applyFill="1" applyAlignment="1">
      <alignment vertical="top"/>
    </xf>
    <xf numFmtId="49" fontId="37" fillId="0" borderId="15" xfId="27" applyNumberFormat="1" applyFont="1" applyFill="1" applyBorder="1" applyAlignment="1">
      <alignment vertical="top"/>
    </xf>
    <xf numFmtId="173" fontId="63" fillId="0" borderId="0" xfId="28" applyNumberFormat="1" applyFont="1" applyAlignment="1">
      <alignment vertical="top"/>
    </xf>
    <xf numFmtId="49" fontId="63" fillId="0" borderId="0" xfId="29" applyNumberFormat="1" applyFont="1" applyAlignment="1">
      <alignment horizontal="center" vertical="top"/>
    </xf>
    <xf numFmtId="49" fontId="63" fillId="0" borderId="0" xfId="30" applyNumberFormat="1" applyFont="1" applyAlignment="1">
      <alignment horizontal="center" vertical="top"/>
    </xf>
    <xf numFmtId="173" fontId="63" fillId="0" borderId="0" xfId="28" applyNumberFormat="1" applyFont="1" applyAlignment="1">
      <alignment horizontal="center" vertical="top"/>
    </xf>
    <xf numFmtId="0" fontId="37" fillId="0" borderId="0" xfId="30" applyFont="1" applyAlignment="1">
      <alignment vertical="top" wrapText="1"/>
    </xf>
    <xf numFmtId="0" fontId="37" fillId="0" borderId="0" xfId="30" applyFont="1" applyAlignment="1">
      <alignment horizontal="center" vertical="top"/>
    </xf>
    <xf numFmtId="49" fontId="37" fillId="0" borderId="0" xfId="30" applyNumberFormat="1" applyFont="1" applyAlignment="1">
      <alignment horizontal="center" vertical="top"/>
    </xf>
    <xf numFmtId="0" fontId="63" fillId="0" borderId="0" xfId="30" applyFont="1" applyAlignment="1">
      <alignment horizontal="center" vertical="top"/>
    </xf>
    <xf numFmtId="49" fontId="63" fillId="0" borderId="0" xfId="31" applyNumberFormat="1" applyFont="1" applyAlignment="1">
      <alignment horizontal="center" vertical="top"/>
    </xf>
    <xf numFmtId="49" fontId="63" fillId="0" borderId="0" xfId="31" applyNumberFormat="1" applyFont="1" applyAlignment="1">
      <alignment vertical="top"/>
    </xf>
    <xf numFmtId="0" fontId="37" fillId="0" borderId="0" xfId="31" applyFont="1" applyAlignment="1">
      <alignment horizontal="left" vertical="top" wrapText="1"/>
    </xf>
    <xf numFmtId="0" fontId="37" fillId="0" borderId="0" xfId="31" applyFont="1" applyAlignment="1">
      <alignment horizontal="center" vertical="top"/>
    </xf>
    <xf numFmtId="49" fontId="37" fillId="0" borderId="0" xfId="31" applyNumberFormat="1" applyFont="1" applyAlignment="1">
      <alignment horizontal="center" vertical="top"/>
    </xf>
    <xf numFmtId="49" fontId="36" fillId="0" borderId="0" xfId="31" applyNumberFormat="1" applyFont="1" applyAlignment="1">
      <alignment horizontal="left" vertical="top"/>
    </xf>
    <xf numFmtId="49" fontId="37" fillId="0" borderId="0" xfId="31" applyNumberFormat="1" applyFont="1" applyAlignment="1">
      <alignment horizontal="left" vertical="top"/>
    </xf>
    <xf numFmtId="0" fontId="36" fillId="0" borderId="15" xfId="11" applyFont="1" applyFill="1" applyBorder="1" applyAlignment="1">
      <alignment horizontal="center" vertical="top" wrapText="1"/>
    </xf>
    <xf numFmtId="49" fontId="36" fillId="0" borderId="15" xfId="11" applyNumberFormat="1" applyFont="1" applyFill="1" applyBorder="1" applyAlignment="1">
      <alignment horizontal="center" vertical="top"/>
    </xf>
    <xf numFmtId="49" fontId="89" fillId="0" borderId="15" xfId="11" applyNumberFormat="1" applyFont="1" applyFill="1" applyBorder="1" applyAlignment="1">
      <alignment horizontal="center" vertical="top"/>
    </xf>
    <xf numFmtId="49" fontId="36" fillId="0" borderId="15" xfId="11" applyNumberFormat="1" applyFont="1" applyFill="1" applyBorder="1" applyAlignment="1">
      <alignment horizontal="center" vertical="top" wrapText="1"/>
    </xf>
    <xf numFmtId="49" fontId="37" fillId="0" borderId="15" xfId="19" applyNumberFormat="1" applyFont="1" applyFill="1" applyBorder="1" applyAlignment="1">
      <alignment vertical="top"/>
    </xf>
    <xf numFmtId="0" fontId="76" fillId="0" borderId="0" xfId="27" applyFont="1" applyFill="1" applyBorder="1" applyAlignment="1">
      <alignment horizontal="center" vertical="top"/>
    </xf>
    <xf numFmtId="0" fontId="37" fillId="0" borderId="15" xfId="11" applyFont="1" applyBorder="1" applyAlignment="1">
      <alignment horizontal="center"/>
    </xf>
    <xf numFmtId="0" fontId="37" fillId="0" borderId="0" xfId="11" applyFont="1"/>
    <xf numFmtId="0" fontId="63" fillId="0" borderId="80" xfId="11" applyFont="1" applyBorder="1"/>
    <xf numFmtId="0" fontId="37" fillId="0" borderId="41" xfId="11" applyFont="1" applyBorder="1"/>
    <xf numFmtId="0" fontId="63" fillId="0" borderId="14" xfId="11" applyFont="1" applyBorder="1"/>
    <xf numFmtId="0" fontId="37" fillId="0" borderId="14" xfId="11" applyFont="1" applyBorder="1"/>
    <xf numFmtId="0" fontId="63" fillId="0" borderId="13" xfId="11" applyFont="1" applyBorder="1"/>
    <xf numFmtId="0" fontId="63" fillId="0" borderId="0" xfId="11" applyFont="1"/>
    <xf numFmtId="0" fontId="37" fillId="0" borderId="87" xfId="11" applyFont="1" applyBorder="1"/>
    <xf numFmtId="0" fontId="63" fillId="0" borderId="0" xfId="11" applyFont="1" applyBorder="1"/>
    <xf numFmtId="0" fontId="37" fillId="0" borderId="0" xfId="11" applyFont="1" applyBorder="1"/>
    <xf numFmtId="0" fontId="63" fillId="0" borderId="11" xfId="11" applyFont="1" applyBorder="1"/>
    <xf numFmtId="0" fontId="37" fillId="0" borderId="0" xfId="11" applyFont="1" applyFill="1" applyBorder="1"/>
    <xf numFmtId="0" fontId="63" fillId="0" borderId="0" xfId="11" applyFont="1" applyFill="1" applyBorder="1"/>
    <xf numFmtId="0" fontId="37" fillId="0" borderId="74" xfId="11" applyFont="1" applyBorder="1"/>
    <xf numFmtId="0" fontId="63" fillId="0" borderId="29" xfId="11" applyFont="1" applyBorder="1"/>
    <xf numFmtId="0" fontId="37" fillId="0" borderId="29" xfId="11" applyFont="1" applyFill="1" applyBorder="1"/>
    <xf numFmtId="0" fontId="63" fillId="0" borderId="29" xfId="11" applyFont="1" applyFill="1" applyBorder="1"/>
    <xf numFmtId="0" fontId="63" fillId="0" borderId="30" xfId="11" applyFont="1" applyBorder="1"/>
    <xf numFmtId="0" fontId="63" fillId="0" borderId="80" xfId="11" applyFont="1" applyBorder="1" applyAlignment="1">
      <alignment horizontal="center"/>
    </xf>
    <xf numFmtId="0" fontId="37" fillId="0" borderId="80" xfId="11" applyFont="1" applyBorder="1" applyAlignment="1">
      <alignment horizontal="center"/>
    </xf>
    <xf numFmtId="0" fontId="37" fillId="0" borderId="72" xfId="11" applyFont="1" applyBorder="1" applyAlignment="1">
      <alignment horizontal="center" wrapText="1"/>
    </xf>
    <xf numFmtId="0" fontId="37" fillId="0" borderId="81" xfId="11" applyFont="1" applyBorder="1" applyAlignment="1">
      <alignment horizontal="center" wrapText="1"/>
    </xf>
    <xf numFmtId="0" fontId="37" fillId="0" borderId="16" xfId="11" applyFont="1" applyBorder="1" applyAlignment="1">
      <alignment horizontal="center" wrapText="1"/>
    </xf>
    <xf numFmtId="0" fontId="37" fillId="0" borderId="80" xfId="11" applyFont="1" applyBorder="1" applyAlignment="1">
      <alignment vertical="center"/>
    </xf>
    <xf numFmtId="3" fontId="37" fillId="0" borderId="80" xfId="11" applyNumberFormat="1" applyFont="1" applyBorder="1" applyAlignment="1">
      <alignment vertical="center"/>
    </xf>
    <xf numFmtId="0" fontId="36" fillId="0" borderId="80" xfId="11" applyFont="1" applyBorder="1" applyAlignment="1">
      <alignment vertical="center"/>
    </xf>
    <xf numFmtId="0" fontId="84" fillId="0" borderId="15" xfId="26" applyFont="1" applyBorder="1" applyAlignment="1">
      <alignment vertical="center"/>
    </xf>
    <xf numFmtId="0" fontId="84" fillId="0" borderId="31" xfId="26" applyFont="1" applyBorder="1" applyAlignment="1">
      <alignment vertical="center"/>
    </xf>
    <xf numFmtId="0" fontId="84" fillId="0" borderId="33" xfId="26" applyFont="1" applyBorder="1" applyAlignment="1">
      <alignment vertical="center"/>
    </xf>
    <xf numFmtId="0" fontId="84" fillId="0" borderId="0" xfId="17" applyFont="1" applyAlignment="1">
      <alignment vertical="center"/>
    </xf>
    <xf numFmtId="0" fontId="84" fillId="0" borderId="74" xfId="26" applyFont="1" applyBorder="1" applyAlignment="1">
      <alignment vertical="center"/>
    </xf>
    <xf numFmtId="0" fontId="84" fillId="0" borderId="30" xfId="26" applyFont="1" applyBorder="1" applyAlignment="1">
      <alignment vertical="center"/>
    </xf>
    <xf numFmtId="0" fontId="84" fillId="0" borderId="16" xfId="26" applyFont="1" applyBorder="1" applyAlignment="1">
      <alignment vertical="center"/>
    </xf>
    <xf numFmtId="1" fontId="22" fillId="32" borderId="73" xfId="19" applyNumberFormat="1" applyFont="1" applyFill="1" applyBorder="1" applyAlignment="1">
      <alignment horizontal="center"/>
    </xf>
    <xf numFmtId="3" fontId="22" fillId="26" borderId="38" xfId="19" quotePrefix="1" applyNumberFormat="1" applyFont="1" applyFill="1" applyBorder="1"/>
    <xf numFmtId="3" fontId="22" fillId="26" borderId="79" xfId="19" quotePrefix="1" applyNumberFormat="1" applyFont="1" applyFill="1" applyBorder="1"/>
    <xf numFmtId="3" fontId="15" fillId="0" borderId="75" xfId="19" applyNumberFormat="1" applyFont="1" applyBorder="1"/>
    <xf numFmtId="3" fontId="21" fillId="0" borderId="29" xfId="19" applyNumberFormat="1" applyFont="1" applyBorder="1"/>
    <xf numFmtId="49" fontId="21" fillId="0" borderId="16" xfId="19" applyNumberFormat="1" applyFont="1" applyBorder="1" applyAlignment="1">
      <alignment horizontal="center" wrapText="1"/>
    </xf>
    <xf numFmtId="49" fontId="21" fillId="32" borderId="16" xfId="19" applyNumberFormat="1" applyFont="1" applyFill="1" applyBorder="1" applyAlignment="1">
      <alignment horizontal="center" wrapText="1"/>
    </xf>
    <xf numFmtId="49" fontId="21" fillId="32" borderId="28" xfId="19" applyNumberFormat="1" applyFont="1" applyFill="1" applyBorder="1" applyAlignment="1">
      <alignment horizontal="center" wrapText="1"/>
    </xf>
    <xf numFmtId="0" fontId="2" fillId="0" borderId="0" xfId="16" applyFont="1"/>
    <xf numFmtId="14" fontId="3" fillId="0" borderId="15" xfId="0" quotePrefix="1" applyNumberFormat="1" applyFont="1" applyFill="1" applyBorder="1" applyAlignment="1">
      <alignment horizontal="center"/>
    </xf>
    <xf numFmtId="14" fontId="3" fillId="0" borderId="15" xfId="0" quotePrefix="1" applyNumberFormat="1" applyFont="1" applyFill="1" applyBorder="1" applyAlignment="1"/>
    <xf numFmtId="49" fontId="37" fillId="0" borderId="41" xfId="28" applyNumberFormat="1" applyFont="1" applyFill="1" applyBorder="1" applyAlignment="1">
      <alignment horizontal="center" vertical="top" wrapText="1"/>
    </xf>
    <xf numFmtId="0" fontId="37" fillId="0" borderId="14" xfId="28" applyNumberFormat="1" applyFont="1" applyFill="1" applyBorder="1" applyAlignment="1">
      <alignment horizontal="center" vertical="top" wrapText="1"/>
    </xf>
    <xf numFmtId="0" fontId="37" fillId="0" borderId="14" xfId="27" applyFont="1" applyFill="1" applyBorder="1" applyAlignment="1">
      <alignment horizontal="center" vertical="top"/>
    </xf>
    <xf numFmtId="0" fontId="37" fillId="0" borderId="14" xfId="27" applyFont="1" applyFill="1" applyBorder="1" applyAlignment="1">
      <alignment vertical="top" wrapText="1"/>
    </xf>
    <xf numFmtId="49" fontId="37" fillId="0" borderId="14" xfId="28" applyNumberFormat="1" applyFont="1" applyFill="1" applyBorder="1" applyAlignment="1">
      <alignment horizontal="center" vertical="top" wrapText="1"/>
    </xf>
    <xf numFmtId="43" fontId="37" fillId="0" borderId="14" xfId="28" applyFont="1" applyFill="1" applyBorder="1" applyAlignment="1">
      <alignment vertical="top" wrapText="1"/>
    </xf>
    <xf numFmtId="173" fontId="63" fillId="0" borderId="14" xfId="28" applyNumberFormat="1" applyFont="1" applyFill="1" applyBorder="1" applyAlignment="1">
      <alignment vertical="top"/>
    </xf>
    <xf numFmtId="173" fontId="63" fillId="0" borderId="14" xfId="11" applyNumberFormat="1" applyFont="1" applyFill="1" applyBorder="1" applyAlignment="1">
      <alignment horizontal="center" vertical="top" wrapText="1"/>
    </xf>
    <xf numFmtId="49" fontId="63" fillId="0" borderId="14" xfId="28" applyNumberFormat="1" applyFont="1" applyFill="1" applyBorder="1" applyAlignment="1">
      <alignment horizontal="center" vertical="top"/>
    </xf>
    <xf numFmtId="173" fontId="63" fillId="0" borderId="13" xfId="28" applyNumberFormat="1" applyFont="1" applyFill="1" applyBorder="1" applyAlignment="1">
      <alignment vertical="top"/>
    </xf>
    <xf numFmtId="3" fontId="63" fillId="0" borderId="39" xfId="19" applyNumberFormat="1" applyFont="1" applyFill="1" applyBorder="1"/>
    <xf numFmtId="3" fontId="89" fillId="0" borderId="89" xfId="19" applyNumberFormat="1" applyFont="1" applyFill="1" applyBorder="1"/>
    <xf numFmtId="3" fontId="63" fillId="0" borderId="81" xfId="19" applyNumberFormat="1" applyFont="1" applyFill="1" applyBorder="1"/>
    <xf numFmtId="3" fontId="36" fillId="0" borderId="38" xfId="19" applyNumberFormat="1" applyFont="1" applyFill="1" applyBorder="1"/>
    <xf numFmtId="3" fontId="89" fillId="0" borderId="81" xfId="19" applyNumberFormat="1" applyFont="1" applyFill="1" applyBorder="1"/>
    <xf numFmtId="3" fontId="63" fillId="0" borderId="16" xfId="19" applyNumberFormat="1" applyFont="1" applyFill="1" applyBorder="1"/>
    <xf numFmtId="3" fontId="63" fillId="0" borderId="0" xfId="19" applyNumberFormat="1" applyFont="1" applyFill="1"/>
    <xf numFmtId="0" fontId="29" fillId="35" borderId="74" xfId="10" applyFont="1" applyFill="1" applyBorder="1" applyAlignment="1">
      <alignment horizontal="centerContinuous"/>
    </xf>
    <xf numFmtId="1" fontId="22" fillId="29" borderId="73" xfId="19" applyNumberFormat="1" applyFont="1" applyFill="1" applyBorder="1" applyAlignment="1">
      <alignment horizontal="center"/>
    </xf>
    <xf numFmtId="49" fontId="21" fillId="29" borderId="16" xfId="19" applyNumberFormat="1" applyFont="1" applyFill="1" applyBorder="1" applyAlignment="1">
      <alignment horizontal="center" wrapText="1"/>
    </xf>
    <xf numFmtId="3" fontId="40" fillId="0" borderId="0" xfId="23" applyNumberFormat="1" applyFont="1" applyAlignment="1">
      <alignment vertical="top"/>
    </xf>
    <xf numFmtId="3" fontId="93" fillId="0" borderId="0" xfId="23" applyNumberFormat="1" applyFont="1" applyAlignment="1">
      <alignment vertical="top"/>
    </xf>
    <xf numFmtId="3" fontId="17" fillId="10" borderId="0" xfId="12" applyNumberFormat="1" applyFont="1" applyFill="1" applyBorder="1" applyAlignment="1">
      <alignment vertical="top" wrapText="1"/>
    </xf>
    <xf numFmtId="3" fontId="40" fillId="10" borderId="0" xfId="12" applyNumberFormat="1" applyFont="1" applyFill="1" applyBorder="1" applyAlignment="1">
      <alignment vertical="top" wrapText="1"/>
    </xf>
    <xf numFmtId="3" fontId="94" fillId="10" borderId="0" xfId="1" applyNumberFormat="1" applyFont="1" applyFill="1" applyAlignment="1">
      <alignment vertical="top"/>
    </xf>
    <xf numFmtId="3" fontId="95" fillId="10" borderId="0" xfId="1" applyNumberFormat="1" applyFont="1" applyFill="1" applyAlignment="1">
      <alignment vertical="top"/>
    </xf>
    <xf numFmtId="0" fontId="96" fillId="2" borderId="0" xfId="23" applyFont="1" applyFill="1" applyBorder="1" applyAlignment="1">
      <alignment horizontal="left" vertical="top"/>
    </xf>
    <xf numFmtId="3" fontId="94" fillId="7" borderId="0" xfId="1" applyNumberFormat="1" applyFont="1" applyFill="1" applyAlignment="1">
      <alignment vertical="top"/>
    </xf>
    <xf numFmtId="3" fontId="95" fillId="7" borderId="0" xfId="1" applyNumberFormat="1" applyFont="1" applyFill="1" applyAlignment="1">
      <alignment vertical="top"/>
    </xf>
    <xf numFmtId="3" fontId="22" fillId="0" borderId="80" xfId="19" applyNumberFormat="1" applyFont="1" applyBorder="1" applyAlignment="1">
      <alignment wrapText="1"/>
    </xf>
    <xf numFmtId="3" fontId="93" fillId="44" borderId="72" xfId="1" applyNumberFormat="1" applyFont="1" applyFill="1" applyBorder="1" applyAlignment="1">
      <alignment vertical="top"/>
    </xf>
    <xf numFmtId="3" fontId="93" fillId="7" borderId="72" xfId="1" applyNumberFormat="1" applyFont="1" applyFill="1" applyBorder="1" applyAlignment="1">
      <alignment vertical="top"/>
    </xf>
    <xf numFmtId="3" fontId="40" fillId="45" borderId="239" xfId="1" applyNumberFormat="1" applyFont="1" applyFill="1" applyBorder="1" applyAlignment="1">
      <alignment horizontal="center" vertical="top"/>
    </xf>
    <xf numFmtId="3" fontId="40" fillId="45" borderId="240" xfId="23" applyNumberFormat="1" applyFont="1" applyFill="1" applyBorder="1" applyAlignment="1">
      <alignment vertical="top"/>
    </xf>
    <xf numFmtId="3" fontId="40" fillId="46" borderId="241" xfId="1" applyNumberFormat="1" applyFont="1" applyFill="1" applyBorder="1" applyAlignment="1">
      <alignment vertical="top"/>
    </xf>
    <xf numFmtId="3" fontId="40" fillId="46" borderId="241" xfId="1" applyNumberFormat="1" applyFont="1" applyFill="1" applyBorder="1" applyAlignment="1">
      <alignment vertical="top" wrapText="1"/>
    </xf>
    <xf numFmtId="3" fontId="94" fillId="19" borderId="242" xfId="1" applyNumberFormat="1" applyFont="1" applyFill="1" applyBorder="1" applyAlignment="1">
      <alignment vertical="top"/>
    </xf>
    <xf numFmtId="3" fontId="40" fillId="46" borderId="160" xfId="1" applyNumberFormat="1" applyFont="1" applyFill="1" applyBorder="1" applyAlignment="1">
      <alignment vertical="top"/>
    </xf>
    <xf numFmtId="3" fontId="40" fillId="46" borderId="160" xfId="1" applyNumberFormat="1" applyFont="1" applyFill="1" applyBorder="1" applyAlignment="1">
      <alignment vertical="top" wrapText="1"/>
    </xf>
    <xf numFmtId="3" fontId="94" fillId="19" borderId="243" xfId="1" applyNumberFormat="1" applyFont="1" applyFill="1" applyBorder="1" applyAlignment="1">
      <alignment vertical="top"/>
    </xf>
    <xf numFmtId="3" fontId="40" fillId="46" borderId="244" xfId="1" applyNumberFormat="1" applyFont="1" applyFill="1" applyBorder="1" applyAlignment="1">
      <alignment vertical="top"/>
    </xf>
    <xf numFmtId="3" fontId="40" fillId="46" borderId="244" xfId="1" applyNumberFormat="1" applyFont="1" applyFill="1" applyBorder="1" applyAlignment="1">
      <alignment vertical="top" wrapText="1"/>
    </xf>
    <xf numFmtId="3" fontId="94" fillId="19" borderId="245" xfId="1" applyNumberFormat="1" applyFont="1" applyFill="1" applyBorder="1" applyAlignment="1">
      <alignment vertical="top"/>
    </xf>
    <xf numFmtId="3" fontId="40" fillId="45" borderId="162" xfId="23" applyNumberFormat="1" applyFont="1" applyFill="1" applyBorder="1" applyAlignment="1">
      <alignment horizontal="center" vertical="top"/>
    </xf>
    <xf numFmtId="3" fontId="40" fillId="45" borderId="163" xfId="23" applyNumberFormat="1" applyFont="1" applyFill="1" applyBorder="1" applyAlignment="1">
      <alignment vertical="top"/>
    </xf>
    <xf numFmtId="3" fontId="98" fillId="9" borderId="0" xfId="12" applyNumberFormat="1" applyFont="1" applyFill="1" applyBorder="1" applyAlignment="1">
      <alignment vertical="top"/>
    </xf>
    <xf numFmtId="3" fontId="99" fillId="10" borderId="0" xfId="1" applyNumberFormat="1" applyFont="1" applyFill="1" applyAlignment="1">
      <alignment vertical="top"/>
    </xf>
    <xf numFmtId="3" fontId="100" fillId="10" borderId="0" xfId="1" applyNumberFormat="1" applyFont="1" applyFill="1" applyAlignment="1">
      <alignment vertical="top"/>
    </xf>
    <xf numFmtId="3" fontId="101" fillId="10" borderId="29" xfId="19" applyNumberFormat="1" applyFont="1" applyFill="1" applyBorder="1" applyAlignment="1">
      <alignment horizontal="center" vertical="top"/>
    </xf>
    <xf numFmtId="3" fontId="102" fillId="10" borderId="30" xfId="19" applyNumberFormat="1" applyFont="1" applyFill="1" applyBorder="1" applyAlignment="1">
      <alignment horizontal="center" vertical="top"/>
    </xf>
    <xf numFmtId="3" fontId="101" fillId="10" borderId="15" xfId="19" applyNumberFormat="1" applyFont="1" applyFill="1" applyBorder="1" applyAlignment="1">
      <alignment horizontal="center" vertical="top"/>
    </xf>
    <xf numFmtId="0" fontId="63" fillId="0" borderId="0" xfId="0" applyFont="1"/>
    <xf numFmtId="0" fontId="89" fillId="0" borderId="0" xfId="0" applyFont="1" applyAlignment="1"/>
    <xf numFmtId="3" fontId="100" fillId="7" borderId="0" xfId="1" applyNumberFormat="1" applyFont="1" applyFill="1" applyAlignment="1">
      <alignment vertical="top"/>
    </xf>
    <xf numFmtId="3" fontId="103" fillId="7" borderId="0" xfId="1" applyNumberFormat="1" applyFont="1" applyFill="1" applyAlignment="1">
      <alignment horizontal="center" vertical="top"/>
    </xf>
    <xf numFmtId="3" fontId="101" fillId="10" borderId="41" xfId="19" applyNumberFormat="1" applyFont="1" applyFill="1" applyBorder="1" applyAlignment="1">
      <alignment vertical="top"/>
    </xf>
    <xf numFmtId="3" fontId="102" fillId="10" borderId="14" xfId="19" applyNumberFormat="1" applyFont="1" applyFill="1" applyBorder="1" applyAlignment="1">
      <alignment vertical="top"/>
    </xf>
    <xf numFmtId="14" fontId="101" fillId="10" borderId="72" xfId="23" quotePrefix="1" applyNumberFormat="1" applyFont="1" applyFill="1" applyBorder="1" applyAlignment="1">
      <alignment horizontal="center" vertical="top"/>
    </xf>
    <xf numFmtId="14" fontId="101" fillId="0" borderId="72" xfId="23" quotePrefix="1" applyNumberFormat="1" applyFont="1" applyFill="1" applyBorder="1" applyAlignment="1">
      <alignment vertical="top"/>
    </xf>
    <xf numFmtId="0" fontId="89" fillId="8" borderId="0" xfId="0" applyFont="1" applyFill="1" applyAlignment="1">
      <alignment vertical="top"/>
    </xf>
    <xf numFmtId="0" fontId="63" fillId="8" borderId="0" xfId="0" applyFont="1" applyFill="1" applyAlignment="1">
      <alignment vertical="top"/>
    </xf>
    <xf numFmtId="3" fontId="100" fillId="8" borderId="0" xfId="1" applyNumberFormat="1" applyFont="1" applyFill="1" applyAlignment="1">
      <alignment vertical="top"/>
    </xf>
    <xf numFmtId="0" fontId="104" fillId="0" borderId="104" xfId="0" applyFont="1" applyBorder="1" applyAlignment="1">
      <alignment horizontal="center" wrapText="1"/>
    </xf>
    <xf numFmtId="0" fontId="104" fillId="0" borderId="73" xfId="0" applyFont="1" applyBorder="1" applyAlignment="1">
      <alignment horizontal="center"/>
    </xf>
    <xf numFmtId="0" fontId="104" fillId="0" borderId="113" xfId="0" applyFont="1" applyBorder="1" applyAlignment="1">
      <alignment horizontal="center" wrapText="1"/>
    </xf>
    <xf numFmtId="0" fontId="104" fillId="2" borderId="113" xfId="0" applyFont="1" applyFill="1" applyBorder="1" applyAlignment="1">
      <alignment horizontal="center" wrapText="1"/>
    </xf>
    <xf numFmtId="0" fontId="36" fillId="0" borderId="114" xfId="0" applyFont="1" applyBorder="1" applyAlignment="1">
      <alignment horizontal="center" wrapText="1"/>
    </xf>
    <xf numFmtId="0" fontId="104" fillId="2" borderId="204" xfId="0" applyFont="1" applyFill="1" applyBorder="1" applyAlignment="1">
      <alignment horizontal="center" wrapText="1"/>
    </xf>
    <xf numFmtId="0" fontId="36" fillId="0" borderId="113" xfId="0" applyFont="1" applyBorder="1" applyAlignment="1">
      <alignment horizontal="center" wrapText="1"/>
    </xf>
    <xf numFmtId="0" fontId="63" fillId="0" borderId="99" xfId="0" applyFont="1" applyBorder="1" applyAlignment="1">
      <alignment horizontal="center"/>
    </xf>
    <xf numFmtId="0" fontId="37" fillId="0" borderId="15" xfId="0" applyFont="1" applyBorder="1" applyAlignment="1">
      <alignment horizontal="center"/>
    </xf>
    <xf numFmtId="0" fontId="105" fillId="0" borderId="15" xfId="0" applyFont="1" applyBorder="1" applyAlignment="1">
      <alignment horizontal="center"/>
    </xf>
    <xf numFmtId="0" fontId="105" fillId="0" borderId="15" xfId="0" applyFont="1" applyBorder="1" applyAlignment="1">
      <alignment horizontal="center" wrapText="1"/>
    </xf>
    <xf numFmtId="0" fontId="105" fillId="2" borderId="88" xfId="0" applyFont="1" applyFill="1" applyBorder="1" applyAlignment="1">
      <alignment horizontal="center" wrapText="1"/>
    </xf>
    <xf numFmtId="0" fontId="105" fillId="0" borderId="110" xfId="0" applyFont="1" applyBorder="1" applyAlignment="1">
      <alignment horizontal="center" wrapText="1"/>
    </xf>
    <xf numFmtId="3" fontId="101" fillId="44" borderId="15" xfId="1" applyNumberFormat="1" applyFont="1" applyFill="1" applyBorder="1" applyAlignment="1">
      <alignment vertical="top"/>
    </xf>
    <xf numFmtId="3" fontId="101" fillId="44" borderId="88" xfId="1" applyNumberFormat="1" applyFont="1" applyFill="1" applyBorder="1" applyAlignment="1">
      <alignment vertical="top"/>
    </xf>
    <xf numFmtId="0" fontId="89" fillId="0" borderId="99" xfId="0" applyFont="1" applyBorder="1"/>
    <xf numFmtId="0" fontId="36" fillId="0" borderId="15" xfId="0" applyFont="1" applyBorder="1" applyAlignment="1">
      <alignment horizontal="left"/>
    </xf>
    <xf numFmtId="0" fontId="89" fillId="0" borderId="15" xfId="0" applyFont="1" applyBorder="1"/>
    <xf numFmtId="0" fontId="89" fillId="0" borderId="15" xfId="0" applyFont="1" applyBorder="1" applyAlignment="1">
      <alignment horizontal="center"/>
    </xf>
    <xf numFmtId="0" fontId="89" fillId="0" borderId="88" xfId="0" applyFont="1" applyBorder="1"/>
    <xf numFmtId="0" fontId="89" fillId="0" borderId="110" xfId="0" applyFont="1" applyBorder="1"/>
    <xf numFmtId="0" fontId="63" fillId="0" borderId="15" xfId="0" applyFont="1" applyBorder="1"/>
    <xf numFmtId="0" fontId="63" fillId="0" borderId="88" xfId="0" applyFont="1" applyBorder="1"/>
    <xf numFmtId="0" fontId="63" fillId="0" borderId="99" xfId="0" applyFont="1" applyBorder="1"/>
    <xf numFmtId="0" fontId="37" fillId="0" borderId="15" xfId="0" applyFont="1" applyBorder="1" applyAlignment="1">
      <alignment horizontal="left"/>
    </xf>
    <xf numFmtId="0" fontId="63" fillId="0" borderId="15" xfId="0" applyFont="1" applyBorder="1" applyAlignment="1">
      <alignment horizontal="center"/>
    </xf>
    <xf numFmtId="0" fontId="63" fillId="0" borderId="110" xfId="0" applyFont="1" applyBorder="1"/>
    <xf numFmtId="0" fontId="36" fillId="0" borderId="15" xfId="0" applyFont="1" applyBorder="1" applyAlignment="1">
      <alignment horizontal="center" wrapText="1"/>
    </xf>
    <xf numFmtId="0" fontId="36" fillId="0" borderId="15" xfId="0" applyFont="1" applyBorder="1" applyAlignment="1">
      <alignment horizontal="center"/>
    </xf>
    <xf numFmtId="0" fontId="89" fillId="0" borderId="15" xfId="0" applyFont="1" applyBorder="1" applyAlignment="1">
      <alignment wrapText="1"/>
    </xf>
    <xf numFmtId="0" fontId="89" fillId="2" borderId="88" xfId="0" applyFont="1" applyFill="1" applyBorder="1" applyAlignment="1">
      <alignment wrapText="1"/>
    </xf>
    <xf numFmtId="0" fontId="89" fillId="0" borderId="110" xfId="0" applyFont="1" applyBorder="1" applyAlignment="1">
      <alignment wrapText="1"/>
    </xf>
    <xf numFmtId="0" fontId="63" fillId="0" borderId="15" xfId="0" applyFont="1" applyBorder="1" applyAlignment="1">
      <alignment wrapText="1"/>
    </xf>
    <xf numFmtId="0" fontId="63" fillId="2" borderId="88" xfId="0" applyFont="1" applyFill="1" applyBorder="1" applyAlignment="1">
      <alignment wrapText="1"/>
    </xf>
    <xf numFmtId="0" fontId="63" fillId="0" borderId="110" xfId="0" applyFont="1" applyBorder="1" applyAlignment="1">
      <alignment wrapText="1"/>
    </xf>
    <xf numFmtId="0" fontId="37" fillId="2" borderId="15" xfId="0" applyFont="1" applyFill="1" applyBorder="1" applyAlignment="1">
      <alignment horizontal="center"/>
    </xf>
    <xf numFmtId="0" fontId="63" fillId="2" borderId="15" xfId="0" applyFont="1" applyFill="1" applyBorder="1"/>
    <xf numFmtId="0" fontId="63" fillId="2" borderId="15" xfId="0" applyFont="1" applyFill="1" applyBorder="1" applyAlignment="1">
      <alignment wrapText="1"/>
    </xf>
    <xf numFmtId="0" fontId="63" fillId="0" borderId="81" xfId="0" applyFont="1" applyFill="1" applyBorder="1"/>
    <xf numFmtId="0" fontId="36" fillId="2" borderId="15" xfId="0" applyFont="1" applyFill="1" applyBorder="1" applyAlignment="1">
      <alignment horizontal="center"/>
    </xf>
    <xf numFmtId="0" fontId="89" fillId="2" borderId="15" xfId="0" applyFont="1" applyFill="1" applyBorder="1"/>
    <xf numFmtId="0" fontId="89" fillId="2" borderId="15" xfId="0" applyFont="1" applyFill="1" applyBorder="1" applyAlignment="1">
      <alignment wrapText="1"/>
    </xf>
    <xf numFmtId="0" fontId="89" fillId="2" borderId="110" xfId="0" applyFont="1" applyFill="1" applyBorder="1" applyAlignment="1">
      <alignment wrapText="1"/>
    </xf>
    <xf numFmtId="0" fontId="63" fillId="0" borderId="106" xfId="0" applyFont="1" applyBorder="1"/>
    <xf numFmtId="0" fontId="88" fillId="2" borderId="116" xfId="0" applyFont="1" applyFill="1" applyBorder="1" applyAlignment="1">
      <alignment horizontal="centerContinuous"/>
    </xf>
    <xf numFmtId="0" fontId="63" fillId="0" borderId="116" xfId="0" applyFont="1" applyFill="1" applyBorder="1" applyAlignment="1">
      <alignment horizontal="center"/>
    </xf>
    <xf numFmtId="0" fontId="63" fillId="0" borderId="116" xfId="0" applyFont="1" applyFill="1" applyBorder="1"/>
    <xf numFmtId="0" fontId="89" fillId="0" borderId="116" xfId="0" applyFont="1" applyFill="1" applyBorder="1"/>
    <xf numFmtId="0" fontId="89" fillId="0" borderId="116" xfId="0" applyFont="1" applyFill="1" applyBorder="1" applyAlignment="1">
      <alignment wrapText="1"/>
    </xf>
    <xf numFmtId="0" fontId="89" fillId="0" borderId="115" xfId="0" applyFont="1" applyFill="1" applyBorder="1" applyAlignment="1">
      <alignment wrapText="1"/>
    </xf>
    <xf numFmtId="0" fontId="89" fillId="0" borderId="201" xfId="0" applyFont="1" applyFill="1" applyBorder="1" applyAlignment="1">
      <alignment wrapText="1"/>
    </xf>
    <xf numFmtId="0" fontId="63" fillId="0" borderId="115" xfId="0" applyFont="1" applyBorder="1"/>
    <xf numFmtId="0" fontId="89" fillId="0" borderId="0" xfId="0" applyFont="1"/>
    <xf numFmtId="3" fontId="6" fillId="0" borderId="137" xfId="0" applyNumberFormat="1" applyFont="1" applyBorder="1" applyProtection="1"/>
    <xf numFmtId="3" fontId="6" fillId="0" borderId="144" xfId="0" applyNumberFormat="1" applyFont="1" applyBorder="1" applyProtection="1"/>
    <xf numFmtId="0" fontId="3" fillId="23" borderId="1" xfId="9" applyFill="1" applyBorder="1" applyAlignment="1">
      <alignment horizontal="center"/>
    </xf>
    <xf numFmtId="0" fontId="3" fillId="24" borderId="1" xfId="9" applyFill="1" applyBorder="1" applyAlignment="1">
      <alignment horizontal="center"/>
    </xf>
    <xf numFmtId="0" fontId="10" fillId="17" borderId="87" xfId="13" applyFont="1" applyFill="1" applyBorder="1" applyAlignment="1">
      <alignment horizontal="center"/>
    </xf>
    <xf numFmtId="0" fontId="10" fillId="17" borderId="121" xfId="13" applyFont="1" applyFill="1" applyBorder="1" applyAlignment="1">
      <alignment horizontal="center"/>
    </xf>
    <xf numFmtId="0" fontId="11" fillId="17" borderId="72" xfId="13" applyFont="1" applyFill="1" applyBorder="1" applyAlignment="1">
      <alignment horizontal="center" vertical="justify"/>
    </xf>
    <xf numFmtId="0" fontId="11" fillId="17" borderId="81" xfId="13" applyFont="1" applyFill="1" applyBorder="1" applyAlignment="1">
      <alignment horizontal="center" vertical="justify"/>
    </xf>
    <xf numFmtId="0" fontId="11" fillId="17" borderId="16" xfId="13" applyFont="1" applyFill="1" applyBorder="1" applyAlignment="1">
      <alignment horizontal="center" vertical="justify"/>
    </xf>
    <xf numFmtId="0" fontId="3" fillId="0" borderId="72" xfId="9" applyFont="1" applyFill="1" applyBorder="1" applyAlignment="1">
      <alignment horizontal="center" vertical="justify"/>
    </xf>
    <xf numFmtId="0" fontId="3" fillId="0" borderId="81" xfId="9" applyFont="1" applyFill="1" applyBorder="1" applyAlignment="1">
      <alignment horizontal="center" vertical="justify"/>
    </xf>
    <xf numFmtId="0" fontId="3" fillId="0" borderId="16" xfId="9" applyFont="1" applyFill="1" applyBorder="1" applyAlignment="1">
      <alignment horizontal="center" vertical="justify"/>
    </xf>
    <xf numFmtId="0" fontId="2" fillId="0" borderId="72" xfId="9" applyFont="1" applyFill="1" applyBorder="1" applyAlignment="1">
      <alignment horizontal="center" vertical="justify"/>
    </xf>
    <xf numFmtId="0" fontId="16" fillId="0" borderId="192" xfId="9" applyFont="1" applyFill="1" applyBorder="1" applyAlignment="1">
      <alignment horizontal="center" vertical="justify"/>
    </xf>
    <xf numFmtId="0" fontId="16" fillId="0" borderId="81" xfId="9" applyFont="1" applyFill="1" applyBorder="1" applyAlignment="1">
      <alignment horizontal="center" vertical="justify"/>
    </xf>
    <xf numFmtId="0" fontId="16" fillId="0" borderId="193" xfId="9" applyFont="1" applyFill="1" applyBorder="1" applyAlignment="1">
      <alignment horizontal="center" vertical="justify"/>
    </xf>
    <xf numFmtId="0" fontId="16" fillId="0" borderId="16" xfId="9" applyFont="1" applyFill="1" applyBorder="1" applyAlignment="1">
      <alignment horizontal="center" vertical="justify"/>
    </xf>
    <xf numFmtId="0" fontId="16" fillId="0" borderId="194" xfId="9" applyFont="1" applyFill="1" applyBorder="1" applyAlignment="1">
      <alignment horizontal="center" vertical="justify"/>
    </xf>
    <xf numFmtId="0" fontId="11" fillId="0" borderId="31" xfId="10" applyFont="1" applyFill="1" applyBorder="1" applyAlignment="1">
      <alignment horizontal="center"/>
    </xf>
    <xf numFmtId="0" fontId="11" fillId="0" borderId="33" xfId="10" applyFont="1" applyFill="1" applyBorder="1" applyAlignment="1">
      <alignment horizontal="center"/>
    </xf>
    <xf numFmtId="0" fontId="60" fillId="0" borderId="0" xfId="13" applyFont="1" applyFill="1" applyAlignment="1">
      <alignment horizontal="center"/>
    </xf>
    <xf numFmtId="0" fontId="72" fillId="0" borderId="8" xfId="10" applyFont="1" applyFill="1" applyBorder="1" applyAlignment="1">
      <alignment horizontal="center"/>
    </xf>
    <xf numFmtId="0" fontId="72" fillId="0" borderId="3" xfId="10" applyFont="1" applyFill="1" applyBorder="1" applyAlignment="1">
      <alignment horizontal="center"/>
    </xf>
    <xf numFmtId="0" fontId="72" fillId="0" borderId="9" xfId="10" applyFont="1" applyFill="1" applyBorder="1" applyAlignment="1">
      <alignment horizontal="center"/>
    </xf>
    <xf numFmtId="0" fontId="72" fillId="0" borderId="49" xfId="10" applyFont="1" applyFill="1" applyBorder="1" applyAlignment="1">
      <alignment horizontal="center"/>
    </xf>
    <xf numFmtId="0" fontId="72" fillId="0" borderId="29" xfId="10" applyFont="1" applyFill="1" applyBorder="1" applyAlignment="1">
      <alignment horizontal="center"/>
    </xf>
    <xf numFmtId="0" fontId="72" fillId="0" borderId="164" xfId="10" applyFont="1" applyFill="1" applyBorder="1" applyAlignment="1">
      <alignment horizontal="center"/>
    </xf>
    <xf numFmtId="0" fontId="29" fillId="35" borderId="81" xfId="10" applyFont="1" applyFill="1" applyBorder="1" applyAlignment="1">
      <alignment horizontal="center" vertical="justify"/>
    </xf>
    <xf numFmtId="0" fontId="29" fillId="35" borderId="16" xfId="10" applyFont="1" applyFill="1" applyBorder="1" applyAlignment="1">
      <alignment horizontal="center" vertical="justify"/>
    </xf>
    <xf numFmtId="0" fontId="29" fillId="35" borderId="86" xfId="10" applyFont="1" applyFill="1" applyBorder="1" applyAlignment="1">
      <alignment horizontal="center" vertical="justify"/>
    </xf>
    <xf numFmtId="0" fontId="29" fillId="35" borderId="28" xfId="10" applyFont="1" applyFill="1" applyBorder="1" applyAlignment="1">
      <alignment horizontal="center" vertical="justify"/>
    </xf>
    <xf numFmtId="0" fontId="11" fillId="0" borderId="81" xfId="10" applyFont="1" applyFill="1" applyBorder="1" applyAlignment="1">
      <alignment horizontal="center" vertical="justify"/>
    </xf>
    <xf numFmtId="0" fontId="11" fillId="0" borderId="16" xfId="10" applyFont="1" applyFill="1" applyBorder="1" applyAlignment="1">
      <alignment horizontal="center" vertical="justify"/>
    </xf>
    <xf numFmtId="0" fontId="11" fillId="0" borderId="72" xfId="10" applyFont="1" applyFill="1" applyBorder="1" applyAlignment="1">
      <alignment horizontal="center" vertical="justify"/>
    </xf>
    <xf numFmtId="0" fontId="15" fillId="0" borderId="72" xfId="0" applyFont="1" applyBorder="1" applyAlignment="1">
      <alignment vertical="center" wrapText="1"/>
    </xf>
    <xf numFmtId="0" fontId="15" fillId="0" borderId="81" xfId="0" applyFont="1" applyBorder="1" applyAlignment="1">
      <alignment vertical="center" wrapText="1"/>
    </xf>
    <xf numFmtId="0" fontId="15" fillId="0" borderId="16" xfId="0" applyFont="1" applyBorder="1" applyAlignment="1">
      <alignment vertical="center" wrapText="1"/>
    </xf>
    <xf numFmtId="0" fontId="15" fillId="0" borderId="15" xfId="0" applyFont="1" applyBorder="1" applyAlignment="1">
      <alignment vertical="center" wrapText="1"/>
    </xf>
    <xf numFmtId="0" fontId="15" fillId="0" borderId="72" xfId="0" applyFont="1" applyBorder="1" applyAlignment="1">
      <alignment horizontal="center" vertical="center" wrapText="1"/>
    </xf>
    <xf numFmtId="0" fontId="15" fillId="0" borderId="81" xfId="0" applyFont="1" applyBorder="1" applyAlignment="1">
      <alignment horizontal="center" vertical="center" wrapText="1"/>
    </xf>
    <xf numFmtId="0" fontId="15" fillId="0" borderId="16" xfId="0" applyFont="1" applyBorder="1" applyAlignment="1">
      <alignment horizontal="center" vertical="center" wrapText="1"/>
    </xf>
    <xf numFmtId="0" fontId="9" fillId="20" borderId="73" xfId="13" applyFont="1" applyFill="1" applyBorder="1" applyAlignment="1">
      <alignment horizontal="center" vertical="justify"/>
    </xf>
    <xf numFmtId="0" fontId="9" fillId="20" borderId="81" xfId="13" applyFont="1" applyFill="1" applyBorder="1" applyAlignment="1">
      <alignment horizontal="center" vertical="justify"/>
    </xf>
    <xf numFmtId="0" fontId="9" fillId="20" borderId="127" xfId="13" applyFont="1" applyFill="1" applyBorder="1" applyAlignment="1">
      <alignment horizontal="center" vertical="justify"/>
    </xf>
    <xf numFmtId="0" fontId="15" fillId="0" borderId="0" xfId="0" applyFont="1" applyBorder="1" applyAlignment="1">
      <alignment horizontal="center" vertical="center" wrapText="1"/>
    </xf>
    <xf numFmtId="0" fontId="15" fillId="0" borderId="11" xfId="0" applyFont="1" applyBorder="1" applyAlignment="1">
      <alignment horizontal="center" vertical="center" wrapText="1"/>
    </xf>
    <xf numFmtId="0" fontId="8" fillId="2" borderId="0" xfId="0" applyFont="1" applyFill="1" applyBorder="1" applyAlignment="1">
      <alignment horizontal="center" wrapText="1"/>
    </xf>
    <xf numFmtId="3" fontId="16" fillId="9" borderId="8" xfId="12" applyNumberFormat="1" applyFont="1" applyFill="1" applyBorder="1" applyAlignment="1">
      <alignment horizontal="left"/>
    </xf>
    <xf numFmtId="3" fontId="16" fillId="9" borderId="3" xfId="12" applyNumberFormat="1" applyFont="1" applyFill="1" applyBorder="1" applyAlignment="1">
      <alignment horizontal="left"/>
    </xf>
    <xf numFmtId="3" fontId="15" fillId="0" borderId="32" xfId="19" applyNumberFormat="1" applyFont="1" applyBorder="1" applyAlignment="1">
      <alignment horizontal="center"/>
    </xf>
    <xf numFmtId="3" fontId="15" fillId="0" borderId="33" xfId="19" applyNumberFormat="1" applyFont="1" applyBorder="1" applyAlignment="1">
      <alignment horizontal="center"/>
    </xf>
    <xf numFmtId="0" fontId="105" fillId="0" borderId="15" xfId="0" applyFont="1" applyBorder="1" applyAlignment="1">
      <alignment horizontal="center"/>
    </xf>
    <xf numFmtId="0" fontId="63" fillId="0" borderId="15" xfId="0" applyFont="1" applyBorder="1" applyAlignment="1">
      <alignment horizontal="center"/>
    </xf>
    <xf numFmtId="3" fontId="101" fillId="0" borderId="32" xfId="19" applyNumberFormat="1" applyFont="1" applyBorder="1" applyAlignment="1">
      <alignment horizontal="center" vertical="top"/>
    </xf>
    <xf numFmtId="3" fontId="101" fillId="0" borderId="33" xfId="19" applyNumberFormat="1" applyFont="1" applyBorder="1" applyAlignment="1">
      <alignment horizontal="center" vertical="top"/>
    </xf>
    <xf numFmtId="3" fontId="97" fillId="6" borderId="15" xfId="1" applyNumberFormat="1" applyFont="1" applyFill="1" applyBorder="1" applyAlignment="1">
      <alignment horizontal="center" vertical="top" wrapText="1"/>
    </xf>
    <xf numFmtId="3" fontId="40" fillId="43" borderId="15" xfId="1" applyNumberFormat="1" applyFont="1" applyFill="1" applyBorder="1" applyAlignment="1">
      <alignment horizontal="center" vertical="top" wrapText="1"/>
    </xf>
    <xf numFmtId="3" fontId="40" fillId="12" borderId="15" xfId="1" applyNumberFormat="1" applyFont="1" applyFill="1" applyBorder="1" applyAlignment="1">
      <alignment horizontal="center" vertical="top" wrapText="1"/>
    </xf>
    <xf numFmtId="0" fontId="17" fillId="0" borderId="204" xfId="0" applyNumberFormat="1" applyFont="1" applyFill="1" applyBorder="1" applyAlignment="1">
      <alignment horizontal="center" wrapText="1"/>
    </xf>
    <xf numFmtId="0" fontId="17" fillId="0" borderId="200" xfId="0" applyNumberFormat="1" applyFont="1" applyFill="1" applyBorder="1" applyAlignment="1">
      <alignment horizontal="center" wrapText="1"/>
    </xf>
    <xf numFmtId="0" fontId="17" fillId="0" borderId="104" xfId="0" applyNumberFormat="1" applyFont="1" applyFill="1" applyBorder="1" applyAlignment="1">
      <alignment horizontal="right" wrapText="1"/>
    </xf>
    <xf numFmtId="0" fontId="15" fillId="0" borderId="113" xfId="0" applyNumberFormat="1" applyFont="1" applyBorder="1" applyAlignment="1">
      <alignment horizontal="right"/>
    </xf>
    <xf numFmtId="0" fontId="17" fillId="0" borderId="99" xfId="1" applyNumberFormat="1" applyFont="1" applyFill="1" applyBorder="1" applyAlignment="1">
      <alignment horizontal="right" wrapText="1"/>
    </xf>
    <xf numFmtId="0" fontId="15" fillId="0" borderId="15" xfId="0" applyNumberFormat="1" applyFont="1" applyBorder="1" applyAlignment="1">
      <alignment horizontal="right"/>
    </xf>
    <xf numFmtId="0" fontId="49" fillId="7" borderId="0" xfId="20" applyNumberFormat="1" applyFont="1" applyFill="1" applyBorder="1" applyAlignment="1">
      <alignment horizontal="center" wrapText="1"/>
    </xf>
    <xf numFmtId="0" fontId="50" fillId="7" borderId="0" xfId="20" applyNumberFormat="1" applyFont="1" applyFill="1" applyBorder="1" applyAlignment="1">
      <alignment horizontal="center" wrapText="1"/>
    </xf>
    <xf numFmtId="0" fontId="17" fillId="0" borderId="103" xfId="0" applyNumberFormat="1" applyFont="1" applyFill="1" applyBorder="1" applyAlignment="1">
      <alignment horizontal="center" wrapText="1"/>
    </xf>
    <xf numFmtId="0" fontId="17" fillId="0" borderId="86" xfId="0" applyNumberFormat="1" applyFont="1" applyFill="1" applyBorder="1" applyAlignment="1">
      <alignment horizontal="center" wrapText="1"/>
    </xf>
    <xf numFmtId="0" fontId="17" fillId="0" borderId="28" xfId="0" applyNumberFormat="1" applyFont="1" applyFill="1" applyBorder="1" applyAlignment="1">
      <alignment horizontal="center" wrapText="1"/>
    </xf>
    <xf numFmtId="0" fontId="17" fillId="0" borderId="204" xfId="0" applyNumberFormat="1" applyFont="1" applyBorder="1" applyAlignment="1">
      <alignment horizontal="center"/>
    </xf>
    <xf numFmtId="0" fontId="17" fillId="0" borderId="205" xfId="0" applyNumberFormat="1" applyFont="1" applyBorder="1" applyAlignment="1">
      <alignment horizontal="center"/>
    </xf>
    <xf numFmtId="0" fontId="17" fillId="8" borderId="15" xfId="1" applyNumberFormat="1" applyFont="1" applyFill="1" applyBorder="1" applyAlignment="1">
      <alignment horizontal="right" wrapText="1"/>
    </xf>
    <xf numFmtId="0" fontId="48" fillId="8" borderId="15" xfId="1" applyNumberFormat="1" applyFont="1" applyFill="1" applyBorder="1" applyAlignment="1">
      <alignment horizontal="right" wrapText="1"/>
    </xf>
    <xf numFmtId="0" fontId="15" fillId="0" borderId="103" xfId="0" applyNumberFormat="1" applyFont="1" applyFill="1" applyBorder="1" applyAlignment="1">
      <alignment horizontal="center" wrapText="1"/>
    </xf>
    <xf numFmtId="0" fontId="15" fillId="0" borderId="86" xfId="0" applyNumberFormat="1" applyFont="1" applyFill="1" applyBorder="1" applyAlignment="1">
      <alignment horizontal="center" wrapText="1"/>
    </xf>
    <xf numFmtId="0" fontId="15" fillId="0" borderId="28" xfId="0" applyNumberFormat="1" applyFont="1" applyFill="1" applyBorder="1" applyAlignment="1">
      <alignment horizontal="center" wrapText="1"/>
    </xf>
    <xf numFmtId="0" fontId="15" fillId="8" borderId="103" xfId="0" applyNumberFormat="1" applyFont="1" applyFill="1" applyBorder="1" applyAlignment="1">
      <alignment horizontal="left" wrapText="1"/>
    </xf>
    <xf numFmtId="0" fontId="15" fillId="8" borderId="28" xfId="0" applyNumberFormat="1" applyFont="1" applyFill="1" applyBorder="1" applyAlignment="1">
      <alignment horizontal="left" wrapText="1"/>
    </xf>
    <xf numFmtId="0" fontId="17" fillId="0" borderId="103" xfId="0" applyNumberFormat="1" applyFont="1" applyFill="1" applyBorder="1" applyAlignment="1">
      <alignment horizontal="center" vertical="center"/>
    </xf>
    <xf numFmtId="0" fontId="17" fillId="0" borderId="86" xfId="0" applyNumberFormat="1" applyFont="1" applyFill="1" applyBorder="1" applyAlignment="1">
      <alignment horizontal="center" vertical="center"/>
    </xf>
    <xf numFmtId="0" fontId="17" fillId="0" borderId="28" xfId="0" applyNumberFormat="1" applyFont="1" applyFill="1" applyBorder="1" applyAlignment="1">
      <alignment horizontal="center" vertical="center"/>
    </xf>
    <xf numFmtId="0" fontId="17" fillId="0" borderId="206" xfId="0" applyNumberFormat="1" applyFont="1" applyBorder="1" applyAlignment="1">
      <alignment horizontal="center" vertical="center" wrapText="1"/>
    </xf>
    <xf numFmtId="0" fontId="17" fillId="0" borderId="207" xfId="0" applyNumberFormat="1" applyFont="1" applyBorder="1" applyAlignment="1">
      <alignment horizontal="center" vertical="center" wrapText="1"/>
    </xf>
    <xf numFmtId="0" fontId="17" fillId="0" borderId="208" xfId="0" applyNumberFormat="1" applyFont="1" applyBorder="1" applyAlignment="1">
      <alignment horizontal="center" vertical="center" wrapText="1"/>
    </xf>
    <xf numFmtId="0" fontId="17" fillId="0" borderId="41" xfId="0" applyNumberFormat="1" applyFont="1" applyFill="1" applyBorder="1" applyAlignment="1">
      <alignment horizontal="center" vertical="center" wrapText="1"/>
    </xf>
    <xf numFmtId="0" fontId="17" fillId="0" borderId="87" xfId="0" applyNumberFormat="1" applyFont="1" applyFill="1" applyBorder="1" applyAlignment="1">
      <alignment horizontal="center" vertical="center" wrapText="1"/>
    </xf>
    <xf numFmtId="0" fontId="17" fillId="0" borderId="74" xfId="0" applyNumberFormat="1" applyFont="1" applyFill="1" applyBorder="1" applyAlignment="1">
      <alignment horizontal="center" vertical="center" wrapText="1"/>
    </xf>
    <xf numFmtId="0" fontId="15" fillId="0" borderId="103" xfId="0" applyNumberFormat="1" applyFont="1" applyBorder="1" applyAlignment="1">
      <alignment horizontal="center" wrapText="1"/>
    </xf>
    <xf numFmtId="0" fontId="15" fillId="0" borderId="86" xfId="0" applyNumberFormat="1" applyFont="1" applyBorder="1" applyAlignment="1">
      <alignment horizontal="center" wrapText="1"/>
    </xf>
    <xf numFmtId="0" fontId="15" fillId="0" borderId="28" xfId="0" applyNumberFormat="1" applyFont="1" applyBorder="1" applyAlignment="1">
      <alignment horizontal="center" wrapText="1"/>
    </xf>
    <xf numFmtId="0" fontId="17" fillId="7" borderId="206" xfId="0" applyNumberFormat="1" applyFont="1" applyFill="1" applyBorder="1" applyAlignment="1">
      <alignment horizontal="center" textRotation="255" wrapText="1"/>
    </xf>
    <xf numFmtId="0" fontId="17" fillId="7" borderId="207" xfId="0" applyNumberFormat="1" applyFont="1" applyFill="1" applyBorder="1" applyAlignment="1">
      <alignment horizontal="center" textRotation="255" wrapText="1"/>
    </xf>
    <xf numFmtId="0" fontId="17" fillId="7" borderId="208" xfId="0" applyNumberFormat="1" applyFont="1" applyFill="1" applyBorder="1" applyAlignment="1">
      <alignment horizontal="center" textRotation="255" wrapText="1"/>
    </xf>
    <xf numFmtId="0" fontId="17" fillId="0" borderId="206" xfId="0" applyNumberFormat="1" applyFont="1" applyFill="1" applyBorder="1" applyAlignment="1">
      <alignment horizontal="center"/>
    </xf>
    <xf numFmtId="0" fontId="17" fillId="0" borderId="207" xfId="0" applyNumberFormat="1" applyFont="1" applyFill="1" applyBorder="1" applyAlignment="1">
      <alignment horizontal="center"/>
    </xf>
    <xf numFmtId="0" fontId="17" fillId="0" borderId="208" xfId="0" applyNumberFormat="1" applyFont="1" applyFill="1" applyBorder="1" applyAlignment="1">
      <alignment horizontal="center"/>
    </xf>
    <xf numFmtId="0" fontId="15" fillId="0" borderId="88" xfId="0" applyNumberFormat="1" applyFont="1" applyBorder="1" applyAlignment="1">
      <alignment horizontal="center" vertical="top" wrapText="1"/>
    </xf>
    <xf numFmtId="0" fontId="15" fillId="0" borderId="31" xfId="0" applyNumberFormat="1" applyFont="1" applyBorder="1" applyAlignment="1">
      <alignment horizontal="right" wrapText="1"/>
    </xf>
    <xf numFmtId="0" fontId="15" fillId="0" borderId="32" xfId="0" applyNumberFormat="1" applyFont="1" applyBorder="1" applyAlignment="1">
      <alignment horizontal="right" wrapText="1"/>
    </xf>
    <xf numFmtId="0" fontId="15" fillId="0" borderId="33" xfId="0" applyNumberFormat="1" applyFont="1" applyBorder="1" applyAlignment="1">
      <alignment horizontal="right" wrapText="1"/>
    </xf>
    <xf numFmtId="0" fontId="15" fillId="0" borderId="31" xfId="0" applyNumberFormat="1" applyFont="1" applyBorder="1" applyAlignment="1">
      <alignment horizontal="right"/>
    </xf>
    <xf numFmtId="0" fontId="15" fillId="0" borderId="32" xfId="0" applyNumberFormat="1" applyFont="1" applyBorder="1" applyAlignment="1">
      <alignment horizontal="right"/>
    </xf>
    <xf numFmtId="0" fontId="15" fillId="0" borderId="33" xfId="0" applyNumberFormat="1" applyFont="1" applyBorder="1" applyAlignment="1">
      <alignment horizontal="right"/>
    </xf>
    <xf numFmtId="0" fontId="42" fillId="0" borderId="88" xfId="0" applyNumberFormat="1" applyFont="1" applyBorder="1" applyAlignment="1">
      <alignment horizontal="center" wrapText="1"/>
    </xf>
    <xf numFmtId="0" fontId="17" fillId="0" borderId="87" xfId="0" applyNumberFormat="1" applyFont="1" applyFill="1" applyBorder="1" applyAlignment="1">
      <alignment horizontal="right" wrapText="1"/>
    </xf>
    <xf numFmtId="0" fontId="17" fillId="0" borderId="0" xfId="0" applyNumberFormat="1" applyFont="1" applyFill="1" applyBorder="1" applyAlignment="1">
      <alignment horizontal="right" wrapText="1"/>
    </xf>
    <xf numFmtId="0" fontId="17" fillId="0" borderId="27" xfId="0" applyNumberFormat="1" applyFont="1" applyFill="1" applyBorder="1" applyAlignment="1">
      <alignment horizontal="right" wrapText="1"/>
    </xf>
    <xf numFmtId="0" fontId="17" fillId="0" borderId="41" xfId="0" applyNumberFormat="1" applyFont="1" applyFill="1" applyBorder="1" applyAlignment="1">
      <alignment horizontal="right" wrapText="1"/>
    </xf>
    <xf numFmtId="0" fontId="17" fillId="0" borderId="14" xfId="0" applyNumberFormat="1" applyFont="1" applyFill="1" applyBorder="1" applyAlignment="1">
      <alignment horizontal="right" wrapText="1"/>
    </xf>
    <xf numFmtId="0" fontId="17" fillId="0" borderId="109" xfId="0" applyNumberFormat="1" applyFont="1" applyFill="1" applyBorder="1" applyAlignment="1">
      <alignment horizontal="right" wrapText="1"/>
    </xf>
    <xf numFmtId="0" fontId="17" fillId="0" borderId="74" xfId="0" applyNumberFormat="1" applyFont="1" applyFill="1" applyBorder="1" applyAlignment="1">
      <alignment horizontal="right" wrapText="1"/>
    </xf>
    <xf numFmtId="0" fontId="17" fillId="0" borderId="29" xfId="0" applyNumberFormat="1" applyFont="1" applyFill="1" applyBorder="1" applyAlignment="1">
      <alignment horizontal="right" wrapText="1"/>
    </xf>
    <xf numFmtId="0" fontId="17" fillId="0" borderId="185" xfId="0" applyNumberFormat="1" applyFont="1" applyFill="1" applyBorder="1" applyAlignment="1">
      <alignment horizontal="right" wrapText="1"/>
    </xf>
    <xf numFmtId="0" fontId="17" fillId="0" borderId="209" xfId="0" applyNumberFormat="1" applyFont="1" applyBorder="1" applyAlignment="1">
      <alignment horizontal="right" wrapText="1"/>
    </xf>
    <xf numFmtId="0" fontId="17" fillId="0" borderId="14" xfId="0" applyNumberFormat="1" applyFont="1" applyBorder="1" applyAlignment="1">
      <alignment horizontal="right" wrapText="1"/>
    </xf>
    <xf numFmtId="0" fontId="17" fillId="0" borderId="109" xfId="0" applyNumberFormat="1" applyFont="1" applyBorder="1" applyAlignment="1">
      <alignment horizontal="right" wrapText="1"/>
    </xf>
    <xf numFmtId="0" fontId="17" fillId="0" borderId="22" xfId="0" applyNumberFormat="1" applyFont="1" applyBorder="1" applyAlignment="1">
      <alignment horizontal="right" wrapText="1"/>
    </xf>
    <xf numFmtId="0" fontId="17" fillId="0" borderId="0" xfId="0" applyNumberFormat="1" applyFont="1" applyBorder="1" applyAlignment="1">
      <alignment horizontal="right" wrapText="1"/>
    </xf>
    <xf numFmtId="0" fontId="17" fillId="0" borderId="27" xfId="0" applyNumberFormat="1" applyFont="1" applyBorder="1" applyAlignment="1">
      <alignment horizontal="right" wrapText="1"/>
    </xf>
    <xf numFmtId="0" fontId="17" fillId="0" borderId="75" xfId="0" applyNumberFormat="1" applyFont="1" applyBorder="1" applyAlignment="1">
      <alignment horizontal="right" wrapText="1"/>
    </xf>
    <xf numFmtId="0" fontId="17" fillId="0" borderId="29" xfId="0" applyNumberFormat="1" applyFont="1" applyBorder="1" applyAlignment="1">
      <alignment horizontal="right" wrapText="1"/>
    </xf>
    <xf numFmtId="0" fontId="17" fillId="0" borderId="185" xfId="0" applyNumberFormat="1" applyFont="1" applyBorder="1" applyAlignment="1">
      <alignment horizontal="right" wrapText="1"/>
    </xf>
    <xf numFmtId="0" fontId="17" fillId="0" borderId="88" xfId="0" applyNumberFormat="1" applyFont="1" applyBorder="1" applyAlignment="1">
      <alignment horizontal="center" wrapText="1"/>
    </xf>
    <xf numFmtId="0" fontId="15" fillId="0" borderId="72" xfId="0" applyNumberFormat="1" applyFont="1" applyBorder="1" applyAlignment="1">
      <alignment horizontal="center" wrapText="1"/>
    </xf>
    <xf numFmtId="0" fontId="15" fillId="0" borderId="16" xfId="0" applyNumberFormat="1" applyFont="1" applyBorder="1" applyAlignment="1">
      <alignment horizontal="center" wrapText="1"/>
    </xf>
    <xf numFmtId="0" fontId="17" fillId="0" borderId="209" xfId="0" applyNumberFormat="1" applyFont="1" applyBorder="1" applyAlignment="1">
      <alignment horizontal="center" wrapText="1"/>
    </xf>
    <xf numFmtId="0" fontId="17" fillId="0" borderId="22" xfId="0" applyNumberFormat="1" applyFont="1" applyBorder="1" applyAlignment="1">
      <alignment horizontal="center" wrapText="1"/>
    </xf>
    <xf numFmtId="0" fontId="17" fillId="9" borderId="206" xfId="0" applyNumberFormat="1" applyFont="1" applyFill="1" applyBorder="1" applyAlignment="1">
      <alignment horizontal="center" vertical="center" wrapText="1"/>
    </xf>
    <xf numFmtId="0" fontId="0" fillId="0" borderId="207" xfId="0" applyBorder="1" applyAlignment="1">
      <alignment vertical="center" wrapText="1"/>
    </xf>
    <xf numFmtId="0" fontId="0" fillId="0" borderId="208" xfId="0" applyBorder="1" applyAlignment="1">
      <alignment vertical="center" wrapText="1"/>
    </xf>
    <xf numFmtId="0" fontId="15" fillId="0" borderId="15" xfId="0" applyNumberFormat="1" applyFont="1" applyBorder="1" applyAlignment="1">
      <alignment horizontal="left" vertical="top" wrapText="1"/>
    </xf>
    <xf numFmtId="0" fontId="17" fillId="0" borderId="87" xfId="0" applyNumberFormat="1" applyFont="1" applyBorder="1" applyAlignment="1">
      <alignment horizontal="center" wrapText="1"/>
    </xf>
    <xf numFmtId="0" fontId="17" fillId="0" borderId="0" xfId="0" applyNumberFormat="1" applyFont="1" applyBorder="1" applyAlignment="1">
      <alignment horizontal="center" wrapText="1"/>
    </xf>
    <xf numFmtId="0" fontId="17" fillId="0" borderId="109" xfId="0" applyNumberFormat="1" applyFont="1" applyBorder="1" applyAlignment="1">
      <alignment horizontal="center" wrapText="1"/>
    </xf>
    <xf numFmtId="0" fontId="17" fillId="0" borderId="27" xfId="0" applyNumberFormat="1" applyFont="1" applyBorder="1" applyAlignment="1">
      <alignment horizontal="center" wrapText="1"/>
    </xf>
    <xf numFmtId="0" fontId="17" fillId="0" borderId="185" xfId="0" applyNumberFormat="1" applyFont="1" applyBorder="1" applyAlignment="1">
      <alignment horizontal="center" wrapText="1"/>
    </xf>
    <xf numFmtId="0" fontId="17" fillId="12" borderId="22" xfId="0" applyNumberFormat="1" applyFont="1" applyFill="1" applyBorder="1" applyAlignment="1">
      <alignment horizontal="center" vertical="top" wrapText="1"/>
    </xf>
    <xf numFmtId="0" fontId="17" fillId="12" borderId="0" xfId="0" applyNumberFormat="1" applyFont="1" applyFill="1" applyBorder="1" applyAlignment="1">
      <alignment horizontal="center" vertical="top" wrapText="1"/>
    </xf>
    <xf numFmtId="0" fontId="15" fillId="0" borderId="97" xfId="0" applyNumberFormat="1" applyFont="1" applyBorder="1" applyAlignment="1">
      <alignment horizontal="center"/>
    </xf>
    <xf numFmtId="0" fontId="15" fillId="0" borderId="117" xfId="0" applyNumberFormat="1" applyFont="1" applyBorder="1" applyAlignment="1">
      <alignment horizontal="center"/>
    </xf>
    <xf numFmtId="0" fontId="17" fillId="9" borderId="31" xfId="1" applyNumberFormat="1" applyFont="1" applyFill="1" applyBorder="1" applyAlignment="1">
      <alignment horizontal="right"/>
    </xf>
    <xf numFmtId="0" fontId="17" fillId="9" borderId="33" xfId="1" applyNumberFormat="1" applyFont="1" applyFill="1" applyBorder="1" applyAlignment="1">
      <alignment horizontal="right"/>
    </xf>
    <xf numFmtId="0" fontId="17" fillId="9" borderId="31" xfId="0" applyNumberFormat="1" applyFont="1" applyFill="1" applyBorder="1" applyAlignment="1">
      <alignment horizontal="right" wrapText="1"/>
    </xf>
    <xf numFmtId="0" fontId="17" fillId="9" borderId="33" xfId="0" applyNumberFormat="1" applyFont="1" applyFill="1" applyBorder="1" applyAlignment="1">
      <alignment horizontal="right" wrapText="1"/>
    </xf>
    <xf numFmtId="0" fontId="17" fillId="0" borderId="88" xfId="0" applyNumberFormat="1" applyFont="1" applyFill="1" applyBorder="1" applyAlignment="1">
      <alignment horizontal="center" wrapText="1"/>
    </xf>
    <xf numFmtId="0" fontId="17" fillId="0" borderId="31" xfId="0" applyNumberFormat="1" applyFont="1" applyFill="1" applyBorder="1" applyAlignment="1">
      <alignment horizontal="right" wrapText="1"/>
    </xf>
    <xf numFmtId="0" fontId="17" fillId="0" borderId="32" xfId="0" applyNumberFormat="1" applyFont="1" applyFill="1" applyBorder="1" applyAlignment="1">
      <alignment horizontal="right" wrapText="1"/>
    </xf>
    <xf numFmtId="0" fontId="17" fillId="0" borderId="33" xfId="0" applyNumberFormat="1" applyFont="1" applyFill="1" applyBorder="1" applyAlignment="1">
      <alignment horizontal="right" wrapText="1"/>
    </xf>
    <xf numFmtId="0" fontId="17" fillId="9" borderId="72" xfId="0" applyNumberFormat="1" applyFont="1" applyFill="1" applyBorder="1" applyAlignment="1">
      <alignment horizontal="right" wrapText="1"/>
    </xf>
    <xf numFmtId="0" fontId="17" fillId="9" borderId="16" xfId="0" applyNumberFormat="1" applyFont="1" applyFill="1" applyBorder="1" applyAlignment="1">
      <alignment horizontal="right" wrapText="1"/>
    </xf>
    <xf numFmtId="0" fontId="17" fillId="0" borderId="103" xfId="0" applyNumberFormat="1" applyFont="1" applyBorder="1" applyAlignment="1">
      <alignment horizontal="center" wrapText="1"/>
    </xf>
    <xf numFmtId="0" fontId="17" fillId="0" borderId="86" xfId="0" applyNumberFormat="1" applyFont="1" applyBorder="1" applyAlignment="1">
      <alignment horizontal="center" wrapText="1"/>
    </xf>
    <xf numFmtId="0" fontId="17" fillId="0" borderId="28" xfId="0" applyNumberFormat="1" applyFont="1" applyBorder="1" applyAlignment="1">
      <alignment horizontal="center" wrapText="1"/>
    </xf>
    <xf numFmtId="0" fontId="17" fillId="0" borderId="31" xfId="0" applyNumberFormat="1" applyFont="1" applyBorder="1" applyAlignment="1">
      <alignment horizontal="right"/>
    </xf>
    <xf numFmtId="0" fontId="17" fillId="0" borderId="32" xfId="0" applyNumberFormat="1" applyFont="1" applyBorder="1" applyAlignment="1">
      <alignment horizontal="right"/>
    </xf>
    <xf numFmtId="0" fontId="17" fillId="0" borderId="33" xfId="0" applyNumberFormat="1" applyFont="1" applyBorder="1" applyAlignment="1">
      <alignment horizontal="right"/>
    </xf>
    <xf numFmtId="0" fontId="17" fillId="0" borderId="15" xfId="0" applyNumberFormat="1" applyFont="1" applyBorder="1" applyAlignment="1">
      <alignment horizontal="center" vertical="top" wrapText="1"/>
    </xf>
    <xf numFmtId="3" fontId="22" fillId="0" borderId="32" xfId="19" applyNumberFormat="1" applyFont="1" applyBorder="1" applyAlignment="1">
      <alignment horizontal="center"/>
    </xf>
    <xf numFmtId="3" fontId="22" fillId="0" borderId="33" xfId="19" applyNumberFormat="1" applyFont="1" applyBorder="1" applyAlignment="1">
      <alignment horizontal="center"/>
    </xf>
    <xf numFmtId="3" fontId="21" fillId="0" borderId="31" xfId="19" applyNumberFormat="1" applyFont="1" applyBorder="1" applyAlignment="1"/>
    <xf numFmtId="0" fontId="13" fillId="0" borderId="32" xfId="0" applyFont="1" applyBorder="1" applyAlignment="1"/>
    <xf numFmtId="0" fontId="13" fillId="0" borderId="33" xfId="0" applyFont="1" applyBorder="1" applyAlignment="1"/>
    <xf numFmtId="0" fontId="15" fillId="0" borderId="0" xfId="0" applyFont="1" applyBorder="1" applyAlignment="1">
      <alignment vertical="center" wrapText="1"/>
    </xf>
    <xf numFmtId="3" fontId="22" fillId="0" borderId="195" xfId="19" applyNumberFormat="1" applyFont="1" applyBorder="1" applyAlignment="1">
      <alignment horizontal="center"/>
    </xf>
    <xf numFmtId="3" fontId="22" fillId="0" borderId="196" xfId="19" applyNumberFormat="1" applyFont="1" applyBorder="1" applyAlignment="1">
      <alignment horizontal="center"/>
    </xf>
    <xf numFmtId="3" fontId="22" fillId="0" borderId="197" xfId="19" applyNumberFormat="1" applyFont="1" applyBorder="1" applyAlignment="1">
      <alignment horizontal="center"/>
    </xf>
    <xf numFmtId="0" fontId="0" fillId="0" borderId="81" xfId="0" applyBorder="1"/>
    <xf numFmtId="0" fontId="0" fillId="0" borderId="16" xfId="0" applyBorder="1"/>
    <xf numFmtId="0" fontId="31" fillId="2" borderId="198" xfId="0" applyFont="1" applyFill="1" applyBorder="1" applyAlignment="1">
      <alignment horizontal="center"/>
    </xf>
    <xf numFmtId="0" fontId="31" fillId="2" borderId="199" xfId="0" applyFont="1" applyFill="1" applyBorder="1" applyAlignment="1">
      <alignment horizontal="center"/>
    </xf>
    <xf numFmtId="0" fontId="29" fillId="35" borderId="74" xfId="0" applyFont="1" applyFill="1" applyBorder="1" applyAlignment="1">
      <alignment horizontal="center"/>
    </xf>
    <xf numFmtId="0" fontId="29" fillId="35" borderId="30" xfId="0" applyFont="1" applyFill="1" applyBorder="1" applyAlignment="1">
      <alignment horizontal="center"/>
    </xf>
    <xf numFmtId="0" fontId="29" fillId="35" borderId="29" xfId="0" applyFont="1" applyFill="1" applyBorder="1" applyAlignment="1">
      <alignment horizontal="center"/>
    </xf>
    <xf numFmtId="0" fontId="29" fillId="0" borderId="73" xfId="0" applyFont="1" applyBorder="1" applyAlignment="1">
      <alignment horizontal="center" vertical="justify"/>
    </xf>
    <xf numFmtId="0" fontId="29" fillId="0" borderId="16" xfId="0" applyFont="1" applyBorder="1" applyAlignment="1">
      <alignment horizontal="center" vertical="justify"/>
    </xf>
    <xf numFmtId="0" fontId="11" fillId="0" borderId="0" xfId="0" applyFont="1" applyBorder="1" applyAlignment="1">
      <alignment horizontal="center" vertical="justify"/>
    </xf>
    <xf numFmtId="0" fontId="17" fillId="0" borderId="72" xfId="0" applyFont="1" applyBorder="1" applyAlignment="1">
      <alignment vertical="center" wrapText="1"/>
    </xf>
    <xf numFmtId="0" fontId="17" fillId="0" borderId="81" xfId="0" applyFont="1" applyBorder="1" applyAlignment="1">
      <alignment vertical="center" wrapText="1"/>
    </xf>
    <xf numFmtId="0" fontId="17" fillId="0" borderId="16" xfId="0" applyFont="1" applyBorder="1" applyAlignment="1">
      <alignment vertical="center" wrapText="1"/>
    </xf>
    <xf numFmtId="0" fontId="29" fillId="2" borderId="101" xfId="0" applyFont="1" applyFill="1" applyBorder="1" applyAlignment="1">
      <alignment horizontal="center"/>
    </xf>
    <xf numFmtId="0" fontId="29" fillId="2" borderId="19" xfId="0" applyFont="1" applyFill="1" applyBorder="1" applyAlignment="1">
      <alignment horizontal="center"/>
    </xf>
    <xf numFmtId="0" fontId="29" fillId="2" borderId="198" xfId="0" applyFont="1" applyFill="1" applyBorder="1" applyAlignment="1">
      <alignment horizontal="center"/>
    </xf>
    <xf numFmtId="0" fontId="29" fillId="2" borderId="200" xfId="0" applyFont="1" applyFill="1" applyBorder="1" applyAlignment="1">
      <alignment horizontal="center"/>
    </xf>
    <xf numFmtId="3" fontId="89" fillId="9" borderId="41" xfId="12" applyNumberFormat="1" applyFont="1" applyFill="1" applyBorder="1" applyAlignment="1">
      <alignment horizontal="left"/>
    </xf>
    <xf numFmtId="3" fontId="89" fillId="9" borderId="14" xfId="12" applyNumberFormat="1" applyFont="1" applyFill="1" applyBorder="1" applyAlignment="1">
      <alignment horizontal="left"/>
    </xf>
    <xf numFmtId="3" fontId="63" fillId="0" borderId="32" xfId="19" applyNumberFormat="1" applyFont="1" applyBorder="1" applyAlignment="1">
      <alignment horizontal="center"/>
    </xf>
    <xf numFmtId="3" fontId="63" fillId="0" borderId="33" xfId="19" applyNumberFormat="1" applyFont="1" applyBorder="1" applyAlignment="1">
      <alignment horizontal="center"/>
    </xf>
    <xf numFmtId="0" fontId="3" fillId="0" borderId="81" xfId="26" applyFont="1" applyBorder="1" applyAlignment="1">
      <alignment wrapText="1"/>
    </xf>
    <xf numFmtId="0" fontId="37" fillId="0" borderId="72" xfId="26" applyFont="1" applyBorder="1" applyAlignment="1">
      <alignment vertical="center" wrapText="1"/>
    </xf>
    <xf numFmtId="0" fontId="37" fillId="0" borderId="81" xfId="26" applyFont="1" applyBorder="1" applyAlignment="1">
      <alignment vertical="center" wrapText="1"/>
    </xf>
    <xf numFmtId="0" fontId="37" fillId="0" borderId="16" xfId="26" applyFont="1" applyBorder="1" applyAlignment="1">
      <alignment vertical="center" wrapText="1"/>
    </xf>
    <xf numFmtId="0" fontId="63" fillId="0" borderId="15" xfId="26" applyFont="1" applyBorder="1" applyAlignment="1">
      <alignment vertical="center" wrapText="1"/>
    </xf>
    <xf numFmtId="0" fontId="84" fillId="0" borderId="163" xfId="26" applyFont="1" applyBorder="1" applyAlignment="1">
      <alignment horizontal="center" vertical="center" wrapText="1"/>
    </xf>
    <xf numFmtId="0" fontId="84" fillId="0" borderId="161" xfId="26" applyFont="1" applyBorder="1" applyAlignment="1">
      <alignment horizontal="center" vertical="center" wrapText="1"/>
    </xf>
    <xf numFmtId="0" fontId="84" fillId="0" borderId="220" xfId="26" applyFont="1" applyBorder="1" applyAlignment="1">
      <alignment horizontal="center" vertical="center" wrapText="1"/>
    </xf>
    <xf numFmtId="0" fontId="84" fillId="0" borderId="221" xfId="26" applyFont="1" applyBorder="1" applyAlignment="1">
      <alignment horizontal="center" vertical="center" wrapText="1"/>
    </xf>
    <xf numFmtId="0" fontId="77" fillId="0" borderId="72" xfId="26" applyFont="1" applyBorder="1" applyAlignment="1">
      <alignment vertical="center" wrapText="1"/>
    </xf>
    <xf numFmtId="0" fontId="77" fillId="0" borderId="81" xfId="26" applyFont="1" applyBorder="1" applyAlignment="1">
      <alignment vertical="center" wrapText="1"/>
    </xf>
    <xf numFmtId="0" fontId="77" fillId="0" borderId="16" xfId="26" applyFont="1" applyBorder="1" applyAlignment="1">
      <alignment vertical="center" wrapText="1"/>
    </xf>
    <xf numFmtId="0" fontId="77" fillId="0" borderId="15" xfId="26" applyFont="1" applyBorder="1" applyAlignment="1">
      <alignment vertical="center" wrapText="1"/>
    </xf>
    <xf numFmtId="0" fontId="84" fillId="0" borderId="72" xfId="26" applyFont="1" applyBorder="1" applyAlignment="1">
      <alignment vertical="center" wrapText="1"/>
    </xf>
    <xf numFmtId="0" fontId="84" fillId="0" borderId="81" xfId="26" applyFont="1" applyBorder="1" applyAlignment="1">
      <alignment vertical="center" wrapText="1"/>
    </xf>
    <xf numFmtId="0" fontId="84" fillId="0" borderId="16" xfId="26" applyFont="1" applyBorder="1" applyAlignment="1">
      <alignment vertical="center" wrapText="1"/>
    </xf>
    <xf numFmtId="0" fontId="84" fillId="0" borderId="15" xfId="26" applyFont="1" applyBorder="1" applyAlignment="1">
      <alignment vertical="center" wrapText="1"/>
    </xf>
    <xf numFmtId="0" fontId="36" fillId="38" borderId="31" xfId="11" applyFont="1" applyFill="1" applyBorder="1" applyAlignment="1">
      <alignment horizontal="center"/>
    </xf>
    <xf numFmtId="0" fontId="36" fillId="38" borderId="33" xfId="11" applyFont="1" applyFill="1" applyBorder="1" applyAlignment="1">
      <alignment horizontal="center"/>
    </xf>
    <xf numFmtId="0" fontId="36" fillId="38" borderId="72" xfId="11" applyFont="1" applyFill="1" applyBorder="1" applyAlignment="1">
      <alignment horizontal="center" vertical="center" wrapText="1"/>
    </xf>
    <xf numFmtId="0" fontId="36" fillId="38" borderId="81" xfId="11" applyFont="1" applyFill="1" applyBorder="1" applyAlignment="1">
      <alignment horizontal="center" vertical="center" wrapText="1"/>
    </xf>
    <xf numFmtId="0" fontId="36" fillId="38" borderId="16" xfId="11" applyFont="1" applyFill="1" applyBorder="1" applyAlignment="1">
      <alignment horizontal="center" vertical="center" wrapText="1"/>
    </xf>
    <xf numFmtId="0" fontId="37" fillId="0" borderId="72" xfId="11" applyFont="1" applyBorder="1" applyAlignment="1">
      <alignment horizontal="center" wrapText="1"/>
    </xf>
    <xf numFmtId="0" fontId="37" fillId="0" borderId="81" xfId="11" applyFont="1" applyBorder="1" applyAlignment="1">
      <alignment horizontal="center"/>
    </xf>
    <xf numFmtId="0" fontId="37" fillId="0" borderId="16" xfId="11" applyFont="1" applyBorder="1" applyAlignment="1">
      <alignment horizontal="center"/>
    </xf>
    <xf numFmtId="0" fontId="37" fillId="0" borderId="72" xfId="11" applyFont="1" applyBorder="1" applyAlignment="1">
      <alignment horizontal="justify" vertical="center" wrapText="1"/>
    </xf>
    <xf numFmtId="0" fontId="37" fillId="0" borderId="81" xfId="11" applyFont="1" applyBorder="1" applyAlignment="1">
      <alignment horizontal="justify" vertical="center" wrapText="1"/>
    </xf>
    <xf numFmtId="0" fontId="37" fillId="0" borderId="16" xfId="11" applyFont="1" applyBorder="1" applyAlignment="1">
      <alignment horizontal="justify" vertical="center" wrapText="1"/>
    </xf>
    <xf numFmtId="0" fontId="36" fillId="38" borderId="72" xfId="11" applyFont="1" applyFill="1" applyBorder="1" applyAlignment="1">
      <alignment horizontal="center" vertical="center"/>
    </xf>
    <xf numFmtId="0" fontId="36" fillId="38" borderId="16" xfId="11" applyFont="1" applyFill="1" applyBorder="1" applyAlignment="1">
      <alignment horizontal="center" vertical="center"/>
    </xf>
    <xf numFmtId="0" fontId="37" fillId="0" borderId="31" xfId="11" applyFont="1" applyBorder="1" applyAlignment="1">
      <alignment horizontal="center"/>
    </xf>
    <xf numFmtId="0" fontId="37" fillId="0" borderId="33" xfId="11" applyFont="1" applyBorder="1" applyAlignment="1">
      <alignment horizontal="center"/>
    </xf>
    <xf numFmtId="0" fontId="37" fillId="32" borderId="31" xfId="11" applyFont="1" applyFill="1" applyBorder="1" applyAlignment="1">
      <alignment horizontal="center"/>
    </xf>
    <xf numFmtId="0" fontId="37" fillId="32" borderId="33" xfId="11" applyFont="1" applyFill="1" applyBorder="1" applyAlignment="1">
      <alignment horizontal="center"/>
    </xf>
    <xf numFmtId="0" fontId="37" fillId="0" borderId="81" xfId="11" applyFont="1" applyBorder="1" applyAlignment="1">
      <alignment horizontal="center" wrapText="1"/>
    </xf>
    <xf numFmtId="0" fontId="37" fillId="0" borderId="16" xfId="11" applyFont="1" applyBorder="1" applyAlignment="1">
      <alignment horizontal="center" wrapText="1"/>
    </xf>
    <xf numFmtId="0" fontId="37" fillId="0" borderId="72" xfId="11" applyFont="1" applyFill="1" applyBorder="1" applyAlignment="1">
      <alignment horizontal="center" vertical="center"/>
    </xf>
    <xf numFmtId="0" fontId="37" fillId="0" borderId="81" xfId="11" applyFont="1" applyFill="1" applyBorder="1" applyAlignment="1">
      <alignment horizontal="center" vertical="center"/>
    </xf>
    <xf numFmtId="0" fontId="37" fillId="0" borderId="16" xfId="11" applyFont="1" applyFill="1" applyBorder="1" applyAlignment="1">
      <alignment horizontal="center" vertical="center"/>
    </xf>
    <xf numFmtId="169" fontId="37" fillId="0" borderId="72" xfId="11" applyNumberFormat="1" applyFont="1" applyBorder="1" applyAlignment="1">
      <alignment horizontal="center" vertical="center"/>
    </xf>
    <xf numFmtId="169" fontId="37" fillId="0" borderId="81" xfId="11" applyNumberFormat="1" applyFont="1" applyBorder="1" applyAlignment="1">
      <alignment horizontal="center" vertical="center"/>
    </xf>
    <xf numFmtId="169" fontId="37" fillId="0" borderId="16" xfId="11" applyNumberFormat="1" applyFont="1" applyBorder="1" applyAlignment="1">
      <alignment horizontal="center" vertical="center"/>
    </xf>
    <xf numFmtId="0" fontId="37" fillId="0" borderId="72" xfId="11" applyFont="1" applyBorder="1" applyAlignment="1">
      <alignment horizontal="center" vertical="center"/>
    </xf>
    <xf numFmtId="0" fontId="37" fillId="0" borderId="81" xfId="11" applyFont="1" applyBorder="1" applyAlignment="1">
      <alignment horizontal="center" vertical="center"/>
    </xf>
    <xf numFmtId="0" fontId="37" fillId="0" borderId="16" xfId="11" applyFont="1" applyBorder="1" applyAlignment="1">
      <alignment horizontal="center" vertical="center"/>
    </xf>
    <xf numFmtId="0" fontId="37" fillId="0" borderId="72" xfId="11" applyNumberFormat="1" applyFont="1" applyBorder="1" applyAlignment="1">
      <alignment horizontal="justify" vertical="center"/>
    </xf>
    <xf numFmtId="0" fontId="37" fillId="0" borderId="81" xfId="11" applyNumberFormat="1" applyFont="1" applyBorder="1" applyAlignment="1">
      <alignment horizontal="justify" vertical="center"/>
    </xf>
    <xf numFmtId="0" fontId="37" fillId="0" borderId="16" xfId="11" applyNumberFormat="1" applyFont="1" applyBorder="1" applyAlignment="1">
      <alignment horizontal="justify" vertical="center"/>
    </xf>
    <xf numFmtId="170" fontId="37" fillId="0" borderId="72" xfId="11" applyNumberFormat="1" applyFont="1" applyBorder="1" applyAlignment="1">
      <alignment horizontal="center" vertical="center"/>
    </xf>
    <xf numFmtId="170" fontId="37" fillId="0" borderId="81" xfId="11" applyNumberFormat="1" applyFont="1" applyBorder="1" applyAlignment="1">
      <alignment horizontal="center" vertical="center"/>
    </xf>
    <xf numFmtId="170" fontId="37" fillId="0" borderId="16" xfId="11" applyNumberFormat="1" applyFont="1" applyBorder="1" applyAlignment="1">
      <alignment horizontal="center" vertical="center"/>
    </xf>
    <xf numFmtId="0" fontId="37" fillId="0" borderId="72" xfId="11" applyNumberFormat="1" applyFont="1" applyBorder="1" applyAlignment="1">
      <alignment horizontal="center" vertical="justify"/>
    </xf>
    <xf numFmtId="0" fontId="37" fillId="0" borderId="81" xfId="11" applyNumberFormat="1" applyFont="1" applyBorder="1" applyAlignment="1">
      <alignment horizontal="center" vertical="justify"/>
    </xf>
    <xf numFmtId="0" fontId="37" fillId="0" borderId="16" xfId="11" applyNumberFormat="1" applyFont="1" applyBorder="1" applyAlignment="1">
      <alignment horizontal="center" vertical="justify"/>
    </xf>
    <xf numFmtId="0" fontId="37" fillId="0" borderId="72" xfId="11" applyFont="1" applyBorder="1" applyAlignment="1">
      <alignment horizontal="center" vertical="center" wrapText="1"/>
    </xf>
    <xf numFmtId="0" fontId="37" fillId="32" borderId="72" xfId="11" applyFont="1" applyFill="1" applyBorder="1" applyAlignment="1">
      <alignment horizontal="center" vertical="center" wrapText="1"/>
    </xf>
    <xf numFmtId="0" fontId="37" fillId="32" borderId="81" xfId="11" applyFont="1" applyFill="1" applyBorder="1" applyAlignment="1">
      <alignment horizontal="center" vertical="center" wrapText="1"/>
    </xf>
    <xf numFmtId="0" fontId="37" fillId="32" borderId="16" xfId="11" applyFont="1" applyFill="1" applyBorder="1" applyAlignment="1">
      <alignment horizontal="center" vertical="center" wrapText="1"/>
    </xf>
    <xf numFmtId="0" fontId="37" fillId="32" borderId="72" xfId="11" applyFont="1" applyFill="1" applyBorder="1" applyAlignment="1">
      <alignment horizontal="center" wrapText="1"/>
    </xf>
    <xf numFmtId="0" fontId="37" fillId="32" borderId="81" xfId="11" applyFont="1" applyFill="1" applyBorder="1" applyAlignment="1">
      <alignment horizontal="center"/>
    </xf>
    <xf numFmtId="0" fontId="37" fillId="32" borderId="16" xfId="11" applyFont="1" applyFill="1" applyBorder="1" applyAlignment="1">
      <alignment horizontal="center"/>
    </xf>
    <xf numFmtId="0" fontId="37" fillId="32" borderId="72" xfId="11" applyFont="1" applyFill="1" applyBorder="1" applyAlignment="1">
      <alignment horizontal="center" vertical="center"/>
    </xf>
    <xf numFmtId="0" fontId="37" fillId="32" borderId="81" xfId="11" applyFont="1" applyFill="1" applyBorder="1" applyAlignment="1">
      <alignment horizontal="center" vertical="center"/>
    </xf>
    <xf numFmtId="0" fontId="37" fillId="32" borderId="16" xfId="11" applyFont="1" applyFill="1" applyBorder="1" applyAlignment="1">
      <alignment horizontal="center" vertical="center"/>
    </xf>
    <xf numFmtId="0" fontId="36" fillId="42" borderId="72" xfId="11" applyFont="1" applyFill="1" applyBorder="1" applyAlignment="1">
      <alignment horizontal="center" vertical="center" wrapText="1"/>
    </xf>
    <xf numFmtId="0" fontId="36" fillId="42" borderId="81" xfId="11" applyFont="1" applyFill="1" applyBorder="1" applyAlignment="1">
      <alignment horizontal="center" vertical="center" wrapText="1"/>
    </xf>
    <xf numFmtId="0" fontId="36" fillId="42" borderId="16" xfId="11" applyFont="1" applyFill="1" applyBorder="1" applyAlignment="1">
      <alignment horizontal="center" vertical="center" wrapText="1"/>
    </xf>
    <xf numFmtId="2" fontId="3" fillId="0" borderId="25" xfId="14" applyNumberFormat="1" applyBorder="1" applyAlignment="1">
      <alignment horizontal="center"/>
    </xf>
    <xf numFmtId="2" fontId="3" fillId="0" borderId="18" xfId="14" applyNumberFormat="1" applyBorder="1" applyAlignment="1">
      <alignment horizontal="center"/>
    </xf>
    <xf numFmtId="2" fontId="25" fillId="0" borderId="23" xfId="14" applyNumberFormat="1" applyFont="1" applyBorder="1" applyAlignment="1">
      <alignment horizontal="center"/>
    </xf>
    <xf numFmtId="2" fontId="25" fillId="0" borderId="21" xfId="14" applyNumberFormat="1" applyFont="1" applyBorder="1" applyAlignment="1">
      <alignment horizontal="center"/>
    </xf>
    <xf numFmtId="2" fontId="16" fillId="0" borderId="201" xfId="14" applyNumberFormat="1" applyFont="1" applyBorder="1" applyAlignment="1">
      <alignment horizontal="center"/>
    </xf>
    <xf numFmtId="2" fontId="16" fillId="0" borderId="202" xfId="14" applyNumberFormat="1" applyFont="1" applyBorder="1" applyAlignment="1">
      <alignment horizontal="center"/>
    </xf>
    <xf numFmtId="2" fontId="16" fillId="0" borderId="203" xfId="14" applyNumberFormat="1" applyFont="1" applyBorder="1" applyAlignment="1">
      <alignment horizontal="center"/>
    </xf>
  </cellXfs>
  <cellStyles count="32">
    <cellStyle name="Comma" xfId="1" builtinId="3"/>
    <cellStyle name="Comma 12" xfId="28"/>
    <cellStyle name="Comma 4 4" xfId="29"/>
    <cellStyle name="Comma 5 2" xfId="24"/>
    <cellStyle name="Comma0" xfId="2"/>
    <cellStyle name="Currency0" xfId="3"/>
    <cellStyle name="Date" xfId="4"/>
    <cellStyle name="Fixed" xfId="5"/>
    <cellStyle name="Heading 1" xfId="6" builtinId="16" customBuiltin="1"/>
    <cellStyle name="Heading 2" xfId="7" builtinId="17" customBuiltin="1"/>
    <cellStyle name="Normal" xfId="0" builtinId="0"/>
    <cellStyle name="Normal 10 2" xfId="23"/>
    <cellStyle name="Normal 11" xfId="27"/>
    <cellStyle name="normal 2" xfId="8"/>
    <cellStyle name="Normal 3" xfId="26"/>
    <cellStyle name="Normal 5 4" xfId="30"/>
    <cellStyle name="Normal 9" xfId="25"/>
    <cellStyle name="Normal_(1)_UE_P_B_2011" xfId="9"/>
    <cellStyle name="normal_(1)_UE_P_B_2011_1" xfId="10"/>
    <cellStyle name="Normal_Formati_permbledhese_Investimet 2007" xfId="11"/>
    <cellStyle name="Normal_Formati_permbledhese_Investimet 2007 2" xfId="31"/>
    <cellStyle name="Normal_Guidelines - Tables" xfId="12"/>
    <cellStyle name="normal_P_Buxheti_06" xfId="13"/>
    <cellStyle name="Normal_Tabela_Investimeve" xfId="14"/>
    <cellStyle name="normal_Tabelat udh 01allforms" xfId="15"/>
    <cellStyle name="Normal_Tabelat udh 01allforms_1" xfId="16"/>
    <cellStyle name="Normal_Udhezimi Pasqyrat 2006" xfId="17"/>
    <cellStyle name="Normal_Udhezimi Pasqyrat2005" xfId="18"/>
    <cellStyle name="Normal_Udhezimi-Tabelat" xfId="19"/>
    <cellStyle name="Normal_UE_PBA_MASH_Tabelat_2011-2013_ Aneksi 7 A - " xfId="20"/>
    <cellStyle name="Percent" xfId="21" builtinId="5"/>
    <cellStyle name="Total" xfId="22"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color rgb="FFCCECFF"/>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723900</xdr:colOff>
      <xdr:row>12</xdr:row>
      <xdr:rowOff>114300</xdr:rowOff>
    </xdr:from>
    <xdr:to>
      <xdr:col>5</xdr:col>
      <xdr:colOff>28575</xdr:colOff>
      <xdr:row>16</xdr:row>
      <xdr:rowOff>104775</xdr:rowOff>
    </xdr:to>
    <xdr:pic>
      <xdr:nvPicPr>
        <xdr:cNvPr id="2076" name="Picture 3" descr="MCj04314980000[1]"/>
        <xdr:cNvPicPr>
          <a:picLocks noChangeAspect="1" noChangeArrowheads="1"/>
        </xdr:cNvPicPr>
      </xdr:nvPicPr>
      <xdr:blipFill>
        <a:blip xmlns:r="http://schemas.openxmlformats.org/officeDocument/2006/relationships" r:embed="rId1" cstate="print"/>
        <a:srcRect/>
        <a:stretch>
          <a:fillRect/>
        </a:stretch>
      </xdr:blipFill>
      <xdr:spPr bwMode="auto">
        <a:xfrm>
          <a:off x="1190625" y="4152900"/>
          <a:ext cx="3190875" cy="714375"/>
        </a:xfrm>
        <a:prstGeom prst="rect">
          <a:avLst/>
        </a:prstGeom>
        <a:noFill/>
        <a:ln w="9525">
          <a:noFill/>
          <a:miter lim="800000"/>
          <a:headEnd/>
          <a:tailEnd/>
        </a:ln>
      </xdr:spPr>
    </xdr:pic>
    <xdr:clientData/>
  </xdr:twoCellAnchor>
  <xdr:twoCellAnchor editAs="oneCell">
    <xdr:from>
      <xdr:col>2</xdr:col>
      <xdr:colOff>723900</xdr:colOff>
      <xdr:row>12</xdr:row>
      <xdr:rowOff>114300</xdr:rowOff>
    </xdr:from>
    <xdr:to>
      <xdr:col>4</xdr:col>
      <xdr:colOff>285750</xdr:colOff>
      <xdr:row>16</xdr:row>
      <xdr:rowOff>104775</xdr:rowOff>
    </xdr:to>
    <xdr:pic>
      <xdr:nvPicPr>
        <xdr:cNvPr id="2077" name="Picture 3" descr="MCj04314980000[1]"/>
        <xdr:cNvPicPr>
          <a:picLocks noChangeAspect="1" noChangeArrowheads="1"/>
        </xdr:cNvPicPr>
      </xdr:nvPicPr>
      <xdr:blipFill>
        <a:blip xmlns:r="http://schemas.openxmlformats.org/officeDocument/2006/relationships" r:embed="rId1" cstate="print"/>
        <a:srcRect/>
        <a:stretch>
          <a:fillRect/>
        </a:stretch>
      </xdr:blipFill>
      <xdr:spPr bwMode="auto">
        <a:xfrm>
          <a:off x="1190625" y="4152900"/>
          <a:ext cx="2981325" cy="71437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Documents%20and%20Settings\florian.nurce\Local%20Settings\Temporary%20Internet%20Files\Content.Outlook\41M70TIK\Realizimi%2011_mujori%20%20_mirela%20-27%2012%20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ocuments%20and%20Settings\florian.nurce\My%20Documents\Copy%20of%2001110_%20PBA_MASH_Tabelat_2014-2016_%20Aneksi%207%20A%20dt%206%208%202013%20Flori%20Filip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Flori%202011\PBA%202012-2014\Institucin%20Derguar%20_Udhezimi%20Formularet%20buxhetit%202012\PBA_MASH_Tabelat_2012-2014_%20Aneksi%207%20A%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 3"/>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ë_dhëna_fillestare"/>
      <sheetName val="Tab_1_Të_Ardhura"/>
      <sheetName val="Llog_ardhurave"/>
      <sheetName val="P2. Buxheti 2014_2016"/>
      <sheetName val="P 4. Nr i punonjesve"/>
      <sheetName val="P5. Art 602"/>
      <sheetName val="P6. Art 603"/>
      <sheetName val="P7. Art 604"/>
      <sheetName val="P8. Art 605"/>
      <sheetName val="P9. Art 606"/>
      <sheetName val="P10. Cash Flow"/>
      <sheetName val="P.11 Inv. Brend"/>
      <sheetName val="P.12 Fin. Huaj"/>
      <sheetName val="Sheet1"/>
      <sheetName val="Sheet2"/>
      <sheetName val="Sheet3"/>
    </sheetNames>
    <sheetDataSet>
      <sheetData sheetId="0" refreshError="1">
        <row r="4">
          <cell r="D4">
            <v>2014</v>
          </cell>
        </row>
        <row r="7">
          <cell r="C7" t="str">
            <v>1011….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ë_dhëna_fillestare"/>
      <sheetName val="Tab_1_Të_Ardhura"/>
      <sheetName val="Llog_ardhurave"/>
      <sheetName val="P2. Buxheti 2012_2014"/>
      <sheetName val="P 3. Permbledhese e Pagave_2012"/>
      <sheetName val="P 3. Permbledhese e Pagave 2011"/>
      <sheetName val="P 4. Nr i punonjesve"/>
      <sheetName val="P5. Art.602"/>
      <sheetName val="P6. Art 603"/>
      <sheetName val="P7. Art 604"/>
      <sheetName val="P8. Art 605"/>
      <sheetName val="P9. Art 606"/>
      <sheetName val="P10. Cash Flow"/>
      <sheetName val="P.11 Inv. Brend _Boxheti"/>
      <sheetName val="P.11 Inv. Brend"/>
      <sheetName val="P.12 Fin. Huaj"/>
      <sheetName val="Pagat databaze"/>
    </sheetNames>
    <sheetDataSet>
      <sheetData sheetId="0" refreshError="1"/>
      <sheetData sheetId="1" refreshError="1">
        <row r="38">
          <cell r="I38">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outlinePr summaryBelow="0" summaryRight="0"/>
    <pageSetUpPr autoPageBreaks="0"/>
  </sheetPr>
  <dimension ref="A1:K17"/>
  <sheetViews>
    <sheetView showZeros="0" showOutlineSymbols="0" workbookViewId="0">
      <selection activeCell="B24" sqref="B24"/>
    </sheetView>
  </sheetViews>
  <sheetFormatPr defaultColWidth="9.140625" defaultRowHeight="12.75"/>
  <cols>
    <col min="1" max="1" width="9.140625" style="702"/>
    <col min="2" max="2" width="18.42578125" style="702" bestFit="1" customWidth="1"/>
    <col min="3" max="3" width="11" style="702" customWidth="1"/>
    <col min="4" max="4" width="23.140625" style="702" bestFit="1" customWidth="1"/>
    <col min="5" max="7" width="9.140625" style="702"/>
    <col min="8" max="8" width="27.5703125" style="702" bestFit="1" customWidth="1"/>
    <col min="9" max="9" width="10.42578125" style="702" bestFit="1" customWidth="1"/>
    <col min="10" max="10" width="19.28515625" style="702" customWidth="1"/>
    <col min="11" max="11" width="19.140625" style="702" customWidth="1"/>
    <col min="12" max="16384" width="9.140625" style="702"/>
  </cols>
  <sheetData>
    <row r="1" spans="1:11" ht="13.5" thickTop="1">
      <c r="A1" s="700"/>
      <c r="B1" s="1603" t="s">
        <v>308</v>
      </c>
      <c r="C1" s="1603"/>
      <c r="D1" s="1603"/>
      <c r="E1" s="701"/>
      <c r="G1" s="703"/>
      <c r="H1" s="1604" t="s">
        <v>308</v>
      </c>
      <c r="I1" s="1604"/>
      <c r="J1" s="1604"/>
      <c r="K1" s="704"/>
    </row>
    <row r="2" spans="1:11">
      <c r="A2" s="705"/>
      <c r="B2" s="706"/>
      <c r="C2" s="706"/>
      <c r="D2" s="706"/>
      <c r="E2" s="707"/>
      <c r="G2" s="708"/>
      <c r="H2" s="709"/>
      <c r="I2" s="709"/>
      <c r="J2" s="709"/>
      <c r="K2" s="710"/>
    </row>
    <row r="3" spans="1:11">
      <c r="A3" s="705"/>
      <c r="B3" s="706"/>
      <c r="C3" s="706"/>
      <c r="D3" s="706"/>
      <c r="E3" s="707"/>
      <c r="G3" s="708"/>
      <c r="H3" s="709"/>
      <c r="I3" s="709"/>
      <c r="J3" s="709"/>
      <c r="K3" s="710"/>
    </row>
    <row r="4" spans="1:11">
      <c r="A4" s="705"/>
      <c r="B4" s="711"/>
      <c r="C4" s="711" t="s">
        <v>309</v>
      </c>
      <c r="D4" s="944">
        <v>2022</v>
      </c>
      <c r="E4" s="707"/>
      <c r="G4" s="708"/>
      <c r="H4" s="712"/>
      <c r="I4" s="712" t="s">
        <v>309</v>
      </c>
      <c r="J4" s="832" t="s">
        <v>316</v>
      </c>
      <c r="K4" s="833"/>
    </row>
    <row r="5" spans="1:11">
      <c r="A5" s="705"/>
      <c r="B5" s="711"/>
      <c r="C5" s="711"/>
      <c r="D5" s="839"/>
      <c r="E5" s="706"/>
      <c r="F5" s="841"/>
      <c r="G5" s="709"/>
      <c r="H5" s="712"/>
      <c r="I5" s="712"/>
      <c r="J5" s="840"/>
      <c r="K5" s="838"/>
    </row>
    <row r="6" spans="1:11">
      <c r="A6" s="705"/>
      <c r="B6" s="706"/>
      <c r="C6" s="713" t="s">
        <v>74</v>
      </c>
      <c r="D6" s="713" t="s">
        <v>319</v>
      </c>
      <c r="E6" s="707"/>
      <c r="G6" s="708"/>
      <c r="H6" s="709"/>
      <c r="I6" s="714" t="s">
        <v>74</v>
      </c>
      <c r="J6" s="1605" t="s">
        <v>319</v>
      </c>
      <c r="K6" s="1606"/>
    </row>
    <row r="7" spans="1:11">
      <c r="A7" s="705"/>
      <c r="B7" s="715" t="s">
        <v>317</v>
      </c>
      <c r="C7" s="1065" t="s">
        <v>1010</v>
      </c>
      <c r="D7" s="1158" t="s">
        <v>1011</v>
      </c>
      <c r="E7" s="707"/>
      <c r="G7" s="708"/>
      <c r="H7" s="1607" t="s">
        <v>317</v>
      </c>
      <c r="I7" s="1610" t="s">
        <v>320</v>
      </c>
      <c r="J7" s="1613" t="s">
        <v>318</v>
      </c>
      <c r="K7" s="1614"/>
    </row>
    <row r="8" spans="1:11">
      <c r="A8" s="705"/>
      <c r="B8" s="706"/>
      <c r="C8" s="706"/>
      <c r="D8" s="706"/>
      <c r="E8" s="707"/>
      <c r="G8" s="708"/>
      <c r="H8" s="1608"/>
      <c r="I8" s="1611"/>
      <c r="J8" s="1615"/>
      <c r="K8" s="1616"/>
    </row>
    <row r="9" spans="1:11">
      <c r="A9" s="705"/>
      <c r="B9" s="706"/>
      <c r="C9" s="706"/>
      <c r="D9" s="706"/>
      <c r="E9" s="707"/>
      <c r="G9" s="708"/>
      <c r="H9" s="1609"/>
      <c r="I9" s="1612"/>
      <c r="J9" s="1617"/>
      <c r="K9" s="1618"/>
    </row>
    <row r="10" spans="1:11">
      <c r="A10" s="705"/>
      <c r="B10" s="706"/>
      <c r="C10" s="706"/>
      <c r="D10" s="706"/>
      <c r="E10" s="707"/>
      <c r="G10" s="708"/>
      <c r="H10" s="834"/>
      <c r="I10" s="834"/>
      <c r="J10" s="834"/>
      <c r="K10" s="835"/>
    </row>
    <row r="11" spans="1:11">
      <c r="A11" s="705"/>
      <c r="B11" s="706"/>
      <c r="C11" s="706"/>
      <c r="D11" s="1104"/>
      <c r="E11" s="707"/>
      <c r="G11" s="708"/>
      <c r="H11" s="1103" t="s">
        <v>961</v>
      </c>
      <c r="I11" s="834"/>
      <c r="J11" s="834" t="s">
        <v>972</v>
      </c>
      <c r="K11" s="835"/>
    </row>
    <row r="12" spans="1:11">
      <c r="A12" s="705"/>
      <c r="B12" s="706"/>
      <c r="C12" s="706"/>
      <c r="D12" s="706"/>
      <c r="E12" s="707"/>
      <c r="G12" s="708"/>
      <c r="H12" s="834"/>
      <c r="I12" s="834"/>
      <c r="J12" s="834"/>
      <c r="K12" s="835"/>
    </row>
    <row r="13" spans="1:11">
      <c r="A13" s="705"/>
      <c r="B13" s="706"/>
      <c r="C13" s="706"/>
      <c r="D13" s="1104"/>
      <c r="E13" s="707"/>
      <c r="G13" s="708"/>
      <c r="H13" s="1103" t="s">
        <v>961</v>
      </c>
      <c r="I13" s="834"/>
      <c r="J13" s="834" t="s">
        <v>240</v>
      </c>
      <c r="K13" s="835"/>
    </row>
    <row r="14" spans="1:11">
      <c r="A14" s="705"/>
      <c r="B14" s="706"/>
      <c r="C14" s="706"/>
      <c r="D14" s="706"/>
      <c r="E14" s="707"/>
      <c r="G14" s="708"/>
      <c r="H14" s="834"/>
      <c r="I14" s="834"/>
      <c r="J14" s="834"/>
      <c r="K14" s="835"/>
    </row>
    <row r="15" spans="1:11">
      <c r="A15" s="705"/>
      <c r="B15" s="706"/>
      <c r="C15" s="706"/>
      <c r="D15" s="706"/>
      <c r="E15" s="707"/>
      <c r="G15" s="708"/>
      <c r="H15" s="834"/>
      <c r="I15" s="834"/>
      <c r="J15" s="834"/>
      <c r="K15" s="835"/>
    </row>
    <row r="16" spans="1:11" ht="13.5" thickBot="1">
      <c r="A16" s="716"/>
      <c r="B16" s="717"/>
      <c r="C16" s="717"/>
      <c r="D16" s="717"/>
      <c r="E16" s="718"/>
      <c r="G16" s="719"/>
      <c r="H16" s="836"/>
      <c r="I16" s="836"/>
      <c r="J16" s="836"/>
      <c r="K16" s="837"/>
    </row>
    <row r="17" ht="13.5" thickTop="1"/>
  </sheetData>
  <sheetProtection password="CA09" sheet="1" objects="1" scenarios="1"/>
  <protectedRanges>
    <protectedRange sqref="D11 D13" name="Range3"/>
    <protectedRange sqref="D4:D5" name="Range2"/>
    <protectedRange sqref="C7:D7 J7" name="Range1"/>
  </protectedRanges>
  <mergeCells count="6">
    <mergeCell ref="B1:D1"/>
    <mergeCell ref="H1:J1"/>
    <mergeCell ref="J6:K6"/>
    <mergeCell ref="H7:H9"/>
    <mergeCell ref="I7:I9"/>
    <mergeCell ref="J7:K9"/>
  </mergeCells>
  <phoneticPr fontId="0" type="noConversion"/>
  <pageMargins left="0.7" right="0.7" top="0.75" bottom="0.75" header="0.3" footer="0.3"/>
  <pageSetup paperSize="9" scale="105" orientation="portrait" r:id="rId1"/>
  <headerFooter alignWithMargins="0">
    <oddFooter>&amp;L&amp;"Times New Roman CE,Italic"&amp;6F.Nurçe     MASH&amp;C&amp;"Times New Roman CE,Italic"&amp;6 D&amp;D&amp;R&amp;"Times New Roman CE,Italic"&amp;6F.N</oddFooter>
  </headerFooter>
  <colBreaks count="1" manualBreakCount="1">
    <brk id="5"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G59"/>
  <sheetViews>
    <sheetView topLeftCell="A16" workbookViewId="0">
      <selection activeCell="L35" sqref="L35"/>
    </sheetView>
  </sheetViews>
  <sheetFormatPr defaultRowHeight="12.75"/>
  <cols>
    <col min="1" max="1" width="10.85546875" customWidth="1"/>
    <col min="2" max="2" width="49.42578125" customWidth="1"/>
    <col min="3" max="3" width="14.7109375" customWidth="1"/>
    <col min="4" max="4" width="14.5703125" customWidth="1"/>
    <col min="5" max="5" width="13.42578125" customWidth="1"/>
    <col min="6" max="6" width="15.7109375" customWidth="1"/>
    <col min="7" max="7" width="16.140625" customWidth="1"/>
  </cols>
  <sheetData>
    <row r="1" spans="1:7" ht="13.5" thickBot="1">
      <c r="A1" s="228" t="s">
        <v>236</v>
      </c>
    </row>
    <row r="2" spans="1:7">
      <c r="A2" s="166" t="s">
        <v>118</v>
      </c>
      <c r="B2" s="167"/>
      <c r="C2" s="167"/>
      <c r="D2" s="167"/>
      <c r="E2" s="49"/>
      <c r="F2" s="50"/>
      <c r="G2" s="293"/>
    </row>
    <row r="3" spans="1:7" ht="13.5">
      <c r="A3" s="51"/>
      <c r="B3" s="31"/>
      <c r="C3" s="29"/>
      <c r="D3" s="29"/>
      <c r="E3" s="29"/>
      <c r="F3" s="45"/>
      <c r="G3" s="294"/>
    </row>
    <row r="4" spans="1:7" ht="13.5">
      <c r="A4" s="51"/>
      <c r="B4" s="31"/>
      <c r="C4" s="115"/>
      <c r="D4" s="101" t="s">
        <v>74</v>
      </c>
      <c r="E4" s="101" t="s">
        <v>72</v>
      </c>
      <c r="F4" s="40"/>
      <c r="G4" s="248" t="str">
        <f>CONCATENATE("PBA"," ",VALUE('Te dhena fillesat 2022'!$D$4)," ","-"," ",VALUE('Te dhena fillesat 2022'!$D$4+2))</f>
        <v>PBA 2022 - 2024</v>
      </c>
    </row>
    <row r="5" spans="1:7" ht="13.5">
      <c r="A5" s="52"/>
      <c r="B5" s="29"/>
      <c r="C5" s="99" t="s">
        <v>156</v>
      </c>
      <c r="D5" s="720" t="str">
        <f>CONCATENATE('Te dhena fillesat 2022'!$C$7)</f>
        <v>1011205</v>
      </c>
      <c r="E5" s="938" t="str">
        <f>CONCATENATE('Te dhena fillesat 2022'!$D$7)</f>
        <v>Agjensia e Sherbimeve të Sportit</v>
      </c>
      <c r="F5" s="40"/>
      <c r="G5" s="248"/>
    </row>
    <row r="6" spans="1:7" ht="13.5">
      <c r="A6" s="53"/>
      <c r="B6" s="28"/>
      <c r="C6" s="99" t="s">
        <v>210</v>
      </c>
      <c r="D6" s="113"/>
      <c r="E6" s="114"/>
      <c r="F6" s="40"/>
      <c r="G6" s="297" t="s">
        <v>219</v>
      </c>
    </row>
    <row r="7" spans="1:7" ht="13.5">
      <c r="A7" s="53"/>
      <c r="B7" s="28"/>
      <c r="C7" s="29"/>
      <c r="D7" s="29"/>
      <c r="E7" s="29"/>
      <c r="F7" s="26"/>
      <c r="G7" s="297"/>
    </row>
    <row r="8" spans="1:7" ht="13.5" thickBot="1">
      <c r="A8" s="54"/>
      <c r="B8" s="47"/>
      <c r="C8" s="48"/>
      <c r="D8" s="47"/>
      <c r="E8" s="47"/>
      <c r="F8" s="47"/>
      <c r="G8" s="57"/>
    </row>
    <row r="9" spans="1:7" ht="6.75" customHeight="1" thickBot="1">
      <c r="A9" s="2"/>
      <c r="B9" s="1"/>
      <c r="C9" s="2"/>
      <c r="D9" s="1"/>
      <c r="E9" s="1"/>
      <c r="F9" s="1"/>
      <c r="G9" s="2"/>
    </row>
    <row r="10" spans="1:7">
      <c r="A10" s="58"/>
      <c r="B10" s="46"/>
      <c r="C10" s="46"/>
      <c r="D10" s="46"/>
      <c r="E10" s="46"/>
      <c r="F10" s="46"/>
      <c r="G10" s="59"/>
    </row>
    <row r="11" spans="1:7" ht="13.5">
      <c r="A11" s="53"/>
      <c r="B11" s="31"/>
      <c r="C11" s="28" t="s">
        <v>79</v>
      </c>
      <c r="D11" s="31" t="s">
        <v>111</v>
      </c>
      <c r="E11" s="31"/>
      <c r="F11" s="31"/>
      <c r="G11" s="60"/>
    </row>
    <row r="12" spans="1:7" ht="13.5" thickBot="1">
      <c r="A12" s="61"/>
      <c r="B12" s="62"/>
      <c r="C12" s="62"/>
      <c r="D12" s="62"/>
      <c r="E12" s="62"/>
      <c r="F12" s="62"/>
      <c r="G12" s="63"/>
    </row>
    <row r="13" spans="1:7" ht="12.75" customHeight="1">
      <c r="A13" s="303"/>
      <c r="B13" s="33"/>
      <c r="C13" s="171"/>
      <c r="D13" s="280"/>
      <c r="E13" s="1774" t="str">
        <f>CONCATENATE("Parashikimi për vitin"," ",VALUE('Te dhena fillesat 2022'!$D$4))</f>
        <v>Parashikimi për vitin 2022</v>
      </c>
      <c r="F13" s="1774" t="str">
        <f>CONCATENATE("Parashikimi për vitin"," ",VALUE('Te dhena fillesat 2022'!$D$4+1))</f>
        <v>Parashikimi për vitin 2023</v>
      </c>
      <c r="G13" s="1774" t="str">
        <f>CONCATENATE("Parashikimi për vitin"," ",VALUE('Te dhena fillesat 2022'!$D$4+2))</f>
        <v>Parashikimi për vitin 2024</v>
      </c>
    </row>
    <row r="14" spans="1:7">
      <c r="A14" s="16" t="s">
        <v>106</v>
      </c>
      <c r="B14" s="34" t="s">
        <v>105</v>
      </c>
      <c r="C14" s="247" t="str">
        <f>CONCATENATE("Fakti i vitit"," ",VALUE('Te dhena fillesat 2022'!$D$4-2))</f>
        <v>Fakti i vitit 2020</v>
      </c>
      <c r="D14" s="246" t="str">
        <f>CONCATENATE("I pritshmi i vitit"," ",VALUE('Te dhena fillesat 2022'!$D$4-1))</f>
        <v>I pritshmi i vitit 2021</v>
      </c>
      <c r="E14" s="1775"/>
      <c r="F14" s="1775"/>
      <c r="G14" s="1775"/>
    </row>
    <row r="15" spans="1:7">
      <c r="A15" s="107">
        <v>1</v>
      </c>
      <c r="B15" s="65">
        <v>2</v>
      </c>
      <c r="C15" s="102">
        <v>3</v>
      </c>
      <c r="D15" s="170">
        <v>4</v>
      </c>
      <c r="E15" s="169">
        <v>5</v>
      </c>
      <c r="F15" s="103">
        <v>6</v>
      </c>
      <c r="G15" s="112">
        <v>7</v>
      </c>
    </row>
    <row r="16" spans="1:7" ht="15" customHeight="1">
      <c r="A16" s="302"/>
      <c r="B16" s="315" t="s">
        <v>97</v>
      </c>
      <c r="C16" s="787">
        <f>SUM(C17,C21,C22,C40)</f>
        <v>0</v>
      </c>
      <c r="D16" s="787">
        <f>SUM(D17,D21,D22,D40)</f>
        <v>0</v>
      </c>
      <c r="E16" s="787">
        <f>SUM(E17,E21,E22,E40)</f>
        <v>0</v>
      </c>
      <c r="F16" s="787">
        <f>SUM(F17,F21,F22,F40)</f>
        <v>0</v>
      </c>
      <c r="G16" s="788">
        <f>SUM(G17,G21,G22,G40)</f>
        <v>0</v>
      </c>
    </row>
    <row r="17" spans="1:7" s="226" customFormat="1" ht="15" customHeight="1">
      <c r="A17" s="302">
        <v>604</v>
      </c>
      <c r="B17" s="299" t="s">
        <v>402</v>
      </c>
      <c r="C17" s="789">
        <f>SUM(C18:C20)</f>
        <v>0</v>
      </c>
      <c r="D17" s="789">
        <f>SUM(D18:D20)</f>
        <v>0</v>
      </c>
      <c r="E17" s="789">
        <f>SUM(E18:E20)</f>
        <v>0</v>
      </c>
      <c r="F17" s="789">
        <f>SUM(F18:F20)</f>
        <v>0</v>
      </c>
      <c r="G17" s="775">
        <f>SUM(G18:G20)</f>
        <v>0</v>
      </c>
    </row>
    <row r="18" spans="1:7" ht="15" customHeight="1">
      <c r="A18" s="757">
        <v>604.01</v>
      </c>
      <c r="B18" s="758" t="s">
        <v>462</v>
      </c>
      <c r="C18" s="790"/>
      <c r="D18" s="790"/>
      <c r="E18" s="790"/>
      <c r="F18" s="790"/>
      <c r="G18" s="777"/>
    </row>
    <row r="19" spans="1:7" ht="15" customHeight="1">
      <c r="A19" s="759">
        <v>604.02</v>
      </c>
      <c r="B19" s="760" t="s">
        <v>463</v>
      </c>
      <c r="C19" s="791"/>
      <c r="D19" s="791"/>
      <c r="E19" s="791"/>
      <c r="F19" s="791"/>
      <c r="G19" s="779"/>
    </row>
    <row r="20" spans="1:7" ht="15" customHeight="1">
      <c r="A20" s="761">
        <v>604.09</v>
      </c>
      <c r="B20" s="762" t="s">
        <v>464</v>
      </c>
      <c r="C20" s="792"/>
      <c r="D20" s="792"/>
      <c r="E20" s="792"/>
      <c r="F20" s="792"/>
      <c r="G20" s="780"/>
    </row>
    <row r="21" spans="1:7" s="226" customFormat="1" ht="15" customHeight="1">
      <c r="A21" s="298">
        <v>604.1</v>
      </c>
      <c r="B21" s="299" t="s">
        <v>403</v>
      </c>
      <c r="C21" s="789"/>
      <c r="D21" s="789"/>
      <c r="E21" s="789"/>
      <c r="F21" s="789"/>
      <c r="G21" s="775"/>
    </row>
    <row r="22" spans="1:7" s="226" customFormat="1" ht="15" customHeight="1">
      <c r="A22" s="300">
        <v>604.20000000000005</v>
      </c>
      <c r="B22" s="301" t="s">
        <v>425</v>
      </c>
      <c r="C22" s="793">
        <f>SUM(C23:C39)</f>
        <v>0</v>
      </c>
      <c r="D22" s="793">
        <f>SUM(D23:D39)</f>
        <v>0</v>
      </c>
      <c r="E22" s="793">
        <f>SUM(E23:E39)</f>
        <v>0</v>
      </c>
      <c r="F22" s="793">
        <f>SUM(F23:F39)</f>
        <v>0</v>
      </c>
      <c r="G22" s="794">
        <f>SUM(G23:G39)</f>
        <v>0</v>
      </c>
    </row>
    <row r="23" spans="1:7" ht="15" customHeight="1">
      <c r="A23" s="763">
        <v>604.20010000000002</v>
      </c>
      <c r="B23" s="758" t="s">
        <v>404</v>
      </c>
      <c r="C23" s="790"/>
      <c r="D23" s="790"/>
      <c r="E23" s="790"/>
      <c r="F23" s="790"/>
      <c r="G23" s="777"/>
    </row>
    <row r="24" spans="1:7" ht="15" customHeight="1">
      <c r="A24" s="764">
        <v>604.2002</v>
      </c>
      <c r="B24" s="760" t="s">
        <v>405</v>
      </c>
      <c r="C24" s="791"/>
      <c r="D24" s="791"/>
      <c r="E24" s="791"/>
      <c r="F24" s="791"/>
      <c r="G24" s="779"/>
    </row>
    <row r="25" spans="1:7" ht="15" customHeight="1">
      <c r="A25" s="764">
        <v>604.20029999999997</v>
      </c>
      <c r="B25" s="760" t="s">
        <v>406</v>
      </c>
      <c r="C25" s="791"/>
      <c r="D25" s="791"/>
      <c r="E25" s="791"/>
      <c r="F25" s="791"/>
      <c r="G25" s="779"/>
    </row>
    <row r="26" spans="1:7" ht="15" customHeight="1">
      <c r="A26" s="764">
        <v>604.20039999999995</v>
      </c>
      <c r="B26" s="760" t="s">
        <v>407</v>
      </c>
      <c r="C26" s="791"/>
      <c r="D26" s="791"/>
      <c r="E26" s="791"/>
      <c r="F26" s="791"/>
      <c r="G26" s="779"/>
    </row>
    <row r="27" spans="1:7" ht="15" customHeight="1">
      <c r="A27" s="764">
        <v>604.20050000000003</v>
      </c>
      <c r="B27" s="760" t="s">
        <v>408</v>
      </c>
      <c r="C27" s="791"/>
      <c r="D27" s="791"/>
      <c r="E27" s="791"/>
      <c r="F27" s="791"/>
      <c r="G27" s="779"/>
    </row>
    <row r="28" spans="1:7" ht="15" customHeight="1">
      <c r="A28" s="764">
        <v>604.20079999999996</v>
      </c>
      <c r="B28" s="760" t="s">
        <v>423</v>
      </c>
      <c r="C28" s="791"/>
      <c r="D28" s="791"/>
      <c r="E28" s="791"/>
      <c r="F28" s="791"/>
      <c r="G28" s="779"/>
    </row>
    <row r="29" spans="1:7" ht="15" customHeight="1">
      <c r="A29" s="764">
        <v>604.20090000000005</v>
      </c>
      <c r="B29" s="760" t="s">
        <v>409</v>
      </c>
      <c r="C29" s="791"/>
      <c r="D29" s="791"/>
      <c r="E29" s="791"/>
      <c r="F29" s="791"/>
      <c r="G29" s="779"/>
    </row>
    <row r="30" spans="1:7" ht="15" customHeight="1">
      <c r="A30" s="764">
        <v>604.20100000000002</v>
      </c>
      <c r="B30" s="760" t="s">
        <v>410</v>
      </c>
      <c r="C30" s="791"/>
      <c r="D30" s="791"/>
      <c r="E30" s="791"/>
      <c r="F30" s="791"/>
      <c r="G30" s="779"/>
    </row>
    <row r="31" spans="1:7" ht="15" customHeight="1">
      <c r="A31" s="764">
        <v>604.2011</v>
      </c>
      <c r="B31" s="760" t="s">
        <v>411</v>
      </c>
      <c r="C31" s="791"/>
      <c r="D31" s="791"/>
      <c r="E31" s="791"/>
      <c r="F31" s="791"/>
      <c r="G31" s="779"/>
    </row>
    <row r="32" spans="1:7" ht="15" customHeight="1">
      <c r="A32" s="764">
        <v>604.20119999999997</v>
      </c>
      <c r="B32" s="760" t="s">
        <v>412</v>
      </c>
      <c r="C32" s="791"/>
      <c r="D32" s="791"/>
      <c r="E32" s="791"/>
      <c r="F32" s="791"/>
      <c r="G32" s="779"/>
    </row>
    <row r="33" spans="1:7" ht="15" customHeight="1">
      <c r="A33" s="764">
        <v>604.202</v>
      </c>
      <c r="B33" s="760" t="s">
        <v>413</v>
      </c>
      <c r="C33" s="791"/>
      <c r="D33" s="791"/>
      <c r="E33" s="791"/>
      <c r="F33" s="791"/>
      <c r="G33" s="779"/>
    </row>
    <row r="34" spans="1:7" ht="15" customHeight="1">
      <c r="A34" s="764">
        <v>604.2029</v>
      </c>
      <c r="B34" s="760" t="s">
        <v>414</v>
      </c>
      <c r="C34" s="791"/>
      <c r="D34" s="791"/>
      <c r="E34" s="791"/>
      <c r="F34" s="791"/>
      <c r="G34" s="779"/>
    </row>
    <row r="35" spans="1:7" ht="15" customHeight="1">
      <c r="A35" s="764">
        <v>604.20299999999997</v>
      </c>
      <c r="B35" s="760" t="s">
        <v>415</v>
      </c>
      <c r="C35" s="791"/>
      <c r="D35" s="791"/>
      <c r="E35" s="791"/>
      <c r="F35" s="791"/>
      <c r="G35" s="779"/>
    </row>
    <row r="36" spans="1:7" ht="15" customHeight="1">
      <c r="A36" s="764">
        <v>604.20309999999995</v>
      </c>
      <c r="B36" s="760" t="s">
        <v>416</v>
      </c>
      <c r="C36" s="791"/>
      <c r="D36" s="791"/>
      <c r="E36" s="791"/>
      <c r="F36" s="791"/>
      <c r="G36" s="779"/>
    </row>
    <row r="37" spans="1:7" ht="15" customHeight="1">
      <c r="A37" s="764">
        <v>604.20320000000004</v>
      </c>
      <c r="B37" s="760" t="s">
        <v>417</v>
      </c>
      <c r="C37" s="791"/>
      <c r="D37" s="791"/>
      <c r="E37" s="791"/>
      <c r="F37" s="791"/>
      <c r="G37" s="779"/>
    </row>
    <row r="38" spans="1:7" ht="15" customHeight="1">
      <c r="A38" s="764">
        <v>604.20330000000001</v>
      </c>
      <c r="B38" s="760" t="s">
        <v>418</v>
      </c>
      <c r="C38" s="791"/>
      <c r="D38" s="791"/>
      <c r="E38" s="791"/>
      <c r="F38" s="791"/>
      <c r="G38" s="779"/>
    </row>
    <row r="39" spans="1:7" ht="15" customHeight="1">
      <c r="A39" s="765">
        <v>604.20339999999999</v>
      </c>
      <c r="B39" s="762" t="s">
        <v>419</v>
      </c>
      <c r="C39" s="792"/>
      <c r="D39" s="792"/>
      <c r="E39" s="792"/>
      <c r="F39" s="792"/>
      <c r="G39" s="780"/>
    </row>
    <row r="40" spans="1:7" s="226" customFormat="1" ht="15" customHeight="1">
      <c r="A40" s="298">
        <v>604.4</v>
      </c>
      <c r="B40" s="299" t="s">
        <v>424</v>
      </c>
      <c r="C40" s="789">
        <f>SUM(C41:C51)</f>
        <v>0</v>
      </c>
      <c r="D40" s="789">
        <f>SUM(D41:D51)</f>
        <v>0</v>
      </c>
      <c r="E40" s="789">
        <f>SUM(E41:E51)</f>
        <v>0</v>
      </c>
      <c r="F40" s="789">
        <f>SUM(F41:F51)</f>
        <v>0</v>
      </c>
      <c r="G40" s="775">
        <f>SUM(G41:G51)</f>
        <v>0</v>
      </c>
    </row>
    <row r="41" spans="1:7" ht="15" customHeight="1">
      <c r="A41" s="763">
        <v>604.40009999999995</v>
      </c>
      <c r="B41" s="758" t="s">
        <v>465</v>
      </c>
      <c r="C41" s="790"/>
      <c r="D41" s="790"/>
      <c r="E41" s="790"/>
      <c r="F41" s="790"/>
      <c r="G41" s="777"/>
    </row>
    <row r="42" spans="1:7" ht="15" customHeight="1">
      <c r="A42" s="764">
        <v>604.40020000000004</v>
      </c>
      <c r="B42" s="760" t="s">
        <v>466</v>
      </c>
      <c r="C42" s="791"/>
      <c r="D42" s="791"/>
      <c r="E42" s="791"/>
      <c r="F42" s="791"/>
      <c r="G42" s="779"/>
    </row>
    <row r="43" spans="1:7" ht="15" customHeight="1">
      <c r="A43" s="764">
        <v>604.40030000000002</v>
      </c>
      <c r="B43" s="760" t="s">
        <v>467</v>
      </c>
      <c r="C43" s="791"/>
      <c r="D43" s="791"/>
      <c r="E43" s="791"/>
      <c r="F43" s="791"/>
      <c r="G43" s="779"/>
    </row>
    <row r="44" spans="1:7" ht="15" customHeight="1">
      <c r="A44" s="764">
        <v>604.40039999999999</v>
      </c>
      <c r="B44" s="760" t="s">
        <v>468</v>
      </c>
      <c r="C44" s="791"/>
      <c r="D44" s="791"/>
      <c r="E44" s="791"/>
      <c r="F44" s="791"/>
      <c r="G44" s="779"/>
    </row>
    <row r="45" spans="1:7" ht="15" customHeight="1">
      <c r="A45" s="764">
        <v>604.40049999999997</v>
      </c>
      <c r="B45" s="760" t="s">
        <v>420</v>
      </c>
      <c r="C45" s="791"/>
      <c r="D45" s="791"/>
      <c r="E45" s="791"/>
      <c r="F45" s="791"/>
      <c r="G45" s="779"/>
    </row>
    <row r="46" spans="1:7" ht="15" customHeight="1">
      <c r="A46" s="764">
        <v>604.40060000000005</v>
      </c>
      <c r="B46" s="760" t="s">
        <v>469</v>
      </c>
      <c r="C46" s="791"/>
      <c r="D46" s="791"/>
      <c r="E46" s="791"/>
      <c r="F46" s="791"/>
      <c r="G46" s="779"/>
    </row>
    <row r="47" spans="1:7" ht="15" customHeight="1">
      <c r="A47" s="764">
        <v>604.40070000000003</v>
      </c>
      <c r="B47" s="760" t="s">
        <v>421</v>
      </c>
      <c r="C47" s="791"/>
      <c r="D47" s="791"/>
      <c r="E47" s="791"/>
      <c r="F47" s="791"/>
      <c r="G47" s="779"/>
    </row>
    <row r="48" spans="1:7" ht="15" customHeight="1">
      <c r="A48" s="764">
        <v>604.4008</v>
      </c>
      <c r="B48" s="760" t="s">
        <v>422</v>
      </c>
      <c r="C48" s="791"/>
      <c r="D48" s="791"/>
      <c r="E48" s="791"/>
      <c r="F48" s="791"/>
      <c r="G48" s="779"/>
    </row>
    <row r="49" spans="1:7" ht="15" customHeight="1">
      <c r="A49" s="764">
        <v>604.40089999999998</v>
      </c>
      <c r="B49" s="760" t="s">
        <v>470</v>
      </c>
      <c r="C49" s="791"/>
      <c r="D49" s="791"/>
      <c r="E49" s="791"/>
      <c r="F49" s="791"/>
      <c r="G49" s="779"/>
    </row>
    <row r="50" spans="1:7" ht="15" customHeight="1">
      <c r="A50" s="764">
        <v>604.40099999999995</v>
      </c>
      <c r="B50" s="760" t="s">
        <v>428</v>
      </c>
      <c r="C50" s="791"/>
      <c r="D50" s="791"/>
      <c r="E50" s="791"/>
      <c r="F50" s="791"/>
      <c r="G50" s="779"/>
    </row>
    <row r="51" spans="1:7" ht="15" customHeight="1" thickBot="1">
      <c r="A51" s="765">
        <v>604.40989999999999</v>
      </c>
      <c r="B51" s="762" t="s">
        <v>471</v>
      </c>
      <c r="C51" s="792"/>
      <c r="D51" s="792"/>
      <c r="E51" s="792"/>
      <c r="F51" s="792"/>
      <c r="G51" s="780"/>
    </row>
    <row r="52" spans="1:7" s="226" customFormat="1" ht="15" customHeight="1" thickBot="1">
      <c r="A52" s="244"/>
      <c r="B52" s="305" t="s">
        <v>85</v>
      </c>
      <c r="C52" s="795">
        <f>SUM(C16)</f>
        <v>0</v>
      </c>
      <c r="D52" s="795">
        <f>SUM(D16)</f>
        <v>0</v>
      </c>
      <c r="E52" s="795">
        <f>SUM(E16)</f>
        <v>0</v>
      </c>
      <c r="F52" s="795">
        <f>SUM(F16)</f>
        <v>0</v>
      </c>
      <c r="G52" s="796">
        <f>SUM(G16)</f>
        <v>0</v>
      </c>
    </row>
    <row r="54" spans="1:7" ht="12.75" customHeight="1">
      <c r="B54" s="252" t="s">
        <v>146</v>
      </c>
      <c r="C54" s="172" t="s">
        <v>144</v>
      </c>
      <c r="D54" s="1102" t="s">
        <v>1044</v>
      </c>
      <c r="E54" s="1638" t="s">
        <v>240</v>
      </c>
      <c r="F54" s="172" t="s">
        <v>144</v>
      </c>
      <c r="G54" s="173" t="s">
        <v>1045</v>
      </c>
    </row>
    <row r="55" spans="1:7">
      <c r="B55" s="250"/>
      <c r="C55" s="172" t="s">
        <v>239</v>
      </c>
      <c r="D55" s="174"/>
      <c r="E55" s="1638"/>
      <c r="F55" s="172" t="s">
        <v>239</v>
      </c>
      <c r="G55" s="172"/>
    </row>
    <row r="56" spans="1:7">
      <c r="B56" s="251"/>
      <c r="C56" s="172" t="s">
        <v>145</v>
      </c>
      <c r="D56" s="176"/>
      <c r="E56" s="1638"/>
      <c r="F56" s="172" t="s">
        <v>145</v>
      </c>
      <c r="G56" s="245"/>
    </row>
    <row r="57" spans="1:7">
      <c r="F57" s="29"/>
    </row>
    <row r="58" spans="1:7" ht="23.25" customHeight="1">
      <c r="A58" s="1776" t="s">
        <v>426</v>
      </c>
      <c r="B58" s="1776"/>
      <c r="C58" s="1776"/>
      <c r="D58" s="1776"/>
      <c r="E58" s="1776"/>
      <c r="F58" s="1776"/>
      <c r="G58" s="1776"/>
    </row>
    <row r="59" spans="1:7" ht="21.75" customHeight="1">
      <c r="A59" s="1776" t="s">
        <v>427</v>
      </c>
      <c r="B59" s="1776"/>
      <c r="C59" s="1776"/>
      <c r="D59" s="1776"/>
      <c r="E59" s="1776"/>
      <c r="F59" s="1776"/>
      <c r="G59" s="1776"/>
    </row>
  </sheetData>
  <sheetProtection password="CA09" sheet="1"/>
  <protectedRanges>
    <protectedRange sqref="C18:G20 C23:G39 C21:G21 C41:G51 D54:D56 G54:G56" name="Range1"/>
  </protectedRanges>
  <mergeCells count="6">
    <mergeCell ref="A58:G58"/>
    <mergeCell ref="A59:G59"/>
    <mergeCell ref="E13:E14"/>
    <mergeCell ref="F13:F14"/>
    <mergeCell ref="G13:G14"/>
    <mergeCell ref="E54:E56"/>
  </mergeCells>
  <phoneticPr fontId="20" type="noConversion"/>
  <pageMargins left="0.17" right="0.17" top="0.56999999999999995" bottom="0.47" header="0.36" footer="0.19"/>
  <pageSetup scale="63" orientation="landscape"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G30"/>
  <sheetViews>
    <sheetView showGridLines="0" workbookViewId="0">
      <selection activeCell="F21" sqref="F21"/>
    </sheetView>
  </sheetViews>
  <sheetFormatPr defaultRowHeight="12.75"/>
  <cols>
    <col min="1" max="1" width="8" customWidth="1"/>
    <col min="2" max="2" width="60" customWidth="1"/>
    <col min="3" max="3" width="12.7109375" customWidth="1"/>
    <col min="4" max="4" width="15.85546875" customWidth="1"/>
    <col min="5" max="5" width="17" customWidth="1"/>
    <col min="6" max="6" width="16.42578125" customWidth="1"/>
    <col min="7" max="7" width="17" customWidth="1"/>
  </cols>
  <sheetData>
    <row r="1" spans="1:7" ht="13.5" thickBot="1">
      <c r="A1" s="228" t="s">
        <v>236</v>
      </c>
    </row>
    <row r="2" spans="1:7" ht="13.5" thickTop="1">
      <c r="A2" s="164" t="s">
        <v>119</v>
      </c>
      <c r="B2" s="165"/>
      <c r="C2" s="165"/>
      <c r="D2" s="165"/>
      <c r="E2" s="10"/>
      <c r="F2" s="4"/>
      <c r="G2" s="109"/>
    </row>
    <row r="3" spans="1:7" ht="13.5">
      <c r="A3" s="9"/>
      <c r="B3" s="40"/>
      <c r="C3" s="28"/>
      <c r="D3" s="28"/>
      <c r="E3" s="28"/>
      <c r="F3" s="28"/>
      <c r="G3" s="110"/>
    </row>
    <row r="4" spans="1:7" ht="13.5">
      <c r="A4" s="9"/>
      <c r="B4" s="40"/>
      <c r="C4" s="115"/>
      <c r="D4" s="101" t="s">
        <v>74</v>
      </c>
      <c r="E4" s="101" t="s">
        <v>72</v>
      </c>
      <c r="F4" s="40"/>
      <c r="G4" s="248" t="str">
        <f>CONCATENATE("PBA"," ",VALUE('Te dhena fillesat 2022'!$D$4)," ","-"," ",VALUE('Te dhena fillesat 2022'!$D$4+2))</f>
        <v>PBA 2022 - 2024</v>
      </c>
    </row>
    <row r="5" spans="1:7" ht="13.5">
      <c r="A5" s="3"/>
      <c r="B5" s="40"/>
      <c r="C5" s="99" t="s">
        <v>156</v>
      </c>
      <c r="D5" s="720" t="str">
        <f>CONCATENATE('Te dhena fillesat 2022'!$C$7)</f>
        <v>1011205</v>
      </c>
      <c r="E5" s="938" t="str">
        <f>CONCATENATE('Te dhena fillesat 2022'!$D$7)</f>
        <v>Agjensia e Sherbimeve të Sportit</v>
      </c>
      <c r="F5" s="40"/>
      <c r="G5" s="248"/>
    </row>
    <row r="6" spans="1:7" ht="13.5">
      <c r="A6" s="11"/>
      <c r="B6" s="40"/>
      <c r="C6" s="99" t="s">
        <v>210</v>
      </c>
      <c r="D6" s="113"/>
      <c r="E6" s="114"/>
      <c r="F6" s="40"/>
      <c r="G6" s="297" t="s">
        <v>219</v>
      </c>
    </row>
    <row r="7" spans="1:7" ht="13.5">
      <c r="A7" s="11"/>
      <c r="B7" s="40"/>
      <c r="C7" s="28"/>
      <c r="D7" s="28"/>
      <c r="E7" s="28"/>
      <c r="F7" s="28"/>
      <c r="G7" s="111"/>
    </row>
    <row r="8" spans="1:7" ht="13.5" thickBot="1">
      <c r="A8" s="5"/>
      <c r="B8" s="7"/>
      <c r="C8" s="7"/>
      <c r="D8" s="6"/>
      <c r="E8" s="7"/>
      <c r="F8" s="6"/>
      <c r="G8" s="8"/>
    </row>
    <row r="9" spans="1:7" ht="14.25" thickTop="1" thickBot="1">
      <c r="A9" s="108"/>
      <c r="B9" s="29"/>
      <c r="C9" s="29"/>
      <c r="D9" s="26"/>
      <c r="E9" s="29"/>
      <c r="F9" s="26"/>
      <c r="G9" s="29"/>
    </row>
    <row r="10" spans="1:7" ht="13.5" thickTop="1">
      <c r="A10" s="13"/>
      <c r="B10" s="14"/>
      <c r="C10" s="14"/>
      <c r="D10" s="14"/>
      <c r="E10" s="14"/>
      <c r="F10" s="14"/>
      <c r="G10" s="15"/>
    </row>
    <row r="11" spans="1:7" ht="13.5">
      <c r="A11" s="11"/>
      <c r="B11" s="28"/>
      <c r="C11" s="28" t="s">
        <v>79</v>
      </c>
      <c r="D11" s="31" t="s">
        <v>107</v>
      </c>
      <c r="E11" s="28"/>
      <c r="F11" s="31"/>
      <c r="G11" s="12"/>
    </row>
    <row r="12" spans="1:7" ht="13.5" thickBot="1">
      <c r="A12" s="105"/>
      <c r="B12" s="62"/>
      <c r="C12" s="62"/>
      <c r="D12" s="62"/>
      <c r="E12" s="62"/>
      <c r="F12" s="62"/>
      <c r="G12" s="106"/>
    </row>
    <row r="13" spans="1:7">
      <c r="A13" s="41"/>
      <c r="B13" s="43"/>
      <c r="C13" s="171"/>
      <c r="D13" s="280"/>
      <c r="E13" s="1774" t="str">
        <f>CONCATENATE("Parashikimi për vitin"," ",VALUE('Te dhena fillesat 2022'!$D$4))</f>
        <v>Parashikimi për vitin 2022</v>
      </c>
      <c r="F13" s="1774" t="str">
        <f>CONCATENATE("Parashikimi për vitin"," ",VALUE('Te dhena fillesat 2022'!$D$4+1))</f>
        <v>Parashikimi për vitin 2023</v>
      </c>
      <c r="G13" s="1774" t="str">
        <f>CONCATENATE("Parashikimi për vitin"," ",VALUE('Te dhena fillesat 2022'!$D$4+2))</f>
        <v>Parashikimi për vitin 2024</v>
      </c>
    </row>
    <row r="14" spans="1:7">
      <c r="A14" s="44" t="s">
        <v>106</v>
      </c>
      <c r="B14" s="104" t="s">
        <v>108</v>
      </c>
      <c r="C14" s="281" t="str">
        <f>CONCATENATE("Fakti i vitit"," ",VALUE('Te dhena fillesat 2022'!$D$4-2))</f>
        <v>Fakti i vitit 2020</v>
      </c>
      <c r="D14" s="246" t="str">
        <f>CONCATENATE("I pritshmi i vitit"," ",VALUE('Te dhena fillesat 2022'!$D$4-1))</f>
        <v>I pritshmi i vitit 2021</v>
      </c>
      <c r="E14" s="1775"/>
      <c r="F14" s="1775"/>
      <c r="G14" s="1775"/>
    </row>
    <row r="15" spans="1:7">
      <c r="A15" s="56"/>
      <c r="B15" s="17"/>
      <c r="C15" s="19"/>
      <c r="D15" s="19"/>
      <c r="E15" s="19"/>
      <c r="F15" s="19"/>
      <c r="G15" s="307"/>
    </row>
    <row r="16" spans="1:7">
      <c r="A16" s="308">
        <v>1</v>
      </c>
      <c r="B16" s="306">
        <v>2</v>
      </c>
      <c r="C16" s="306">
        <v>3</v>
      </c>
      <c r="D16" s="306">
        <v>4</v>
      </c>
      <c r="E16" s="19">
        <v>5</v>
      </c>
      <c r="F16" s="19">
        <v>6</v>
      </c>
      <c r="G16" s="309">
        <v>7</v>
      </c>
    </row>
    <row r="17" spans="1:7">
      <c r="A17" s="253"/>
      <c r="B17" s="314" t="s">
        <v>97</v>
      </c>
      <c r="C17" s="772">
        <f>SUM(C18,C22,C23,C24)</f>
        <v>4596</v>
      </c>
      <c r="D17" s="772">
        <f>SUM(D18,D22,D23,D24)</f>
        <v>5300</v>
      </c>
      <c r="E17" s="772">
        <f>SUM(E18,E22,E23,E24)</f>
        <v>5500</v>
      </c>
      <c r="F17" s="772">
        <f>SUM(F18,F22,F23,F24)</f>
        <v>5500</v>
      </c>
      <c r="G17" s="773">
        <f>SUM(G18,G22,G23,G24)</f>
        <v>5500</v>
      </c>
    </row>
    <row r="18" spans="1:7" s="226" customFormat="1">
      <c r="A18" s="253">
        <v>605.1</v>
      </c>
      <c r="B18" s="254" t="s">
        <v>429</v>
      </c>
      <c r="C18" s="774">
        <f>SUM(C19:C21)</f>
        <v>4596</v>
      </c>
      <c r="D18" s="774">
        <f>SUM(D19:D21)</f>
        <v>5300</v>
      </c>
      <c r="E18" s="774">
        <f>SUM(E19:E21)</f>
        <v>5500</v>
      </c>
      <c r="F18" s="774">
        <f>SUM(F19:F21)</f>
        <v>5500</v>
      </c>
      <c r="G18" s="775">
        <f>SUM(G19:G21)</f>
        <v>5500</v>
      </c>
    </row>
    <row r="19" spans="1:7">
      <c r="A19" s="766">
        <v>605.1001</v>
      </c>
      <c r="B19" s="767" t="s">
        <v>430</v>
      </c>
      <c r="C19" s="776"/>
      <c r="D19" s="776"/>
      <c r="E19" s="776"/>
      <c r="F19" s="776"/>
      <c r="G19" s="777"/>
    </row>
    <row r="20" spans="1:7">
      <c r="A20" s="768">
        <v>605.10019999999997</v>
      </c>
      <c r="B20" s="769" t="s">
        <v>431</v>
      </c>
      <c r="C20" s="778"/>
      <c r="D20" s="778"/>
      <c r="E20" s="778"/>
      <c r="F20" s="778"/>
      <c r="G20" s="779"/>
    </row>
    <row r="21" spans="1:7">
      <c r="A21" s="770">
        <v>605.10990000000004</v>
      </c>
      <c r="B21" s="771" t="s">
        <v>472</v>
      </c>
      <c r="C21" s="1601">
        <v>4596</v>
      </c>
      <c r="D21" s="1601">
        <v>5300</v>
      </c>
      <c r="E21" s="1601">
        <v>5500</v>
      </c>
      <c r="F21" s="1601">
        <v>5500</v>
      </c>
      <c r="G21" s="1602">
        <v>5500</v>
      </c>
    </row>
    <row r="22" spans="1:7" s="226" customFormat="1">
      <c r="A22" s="310">
        <v>605.20000000000005</v>
      </c>
      <c r="B22" s="299" t="s">
        <v>473</v>
      </c>
      <c r="C22" s="781"/>
      <c r="D22" s="781"/>
      <c r="E22" s="781"/>
      <c r="F22" s="781"/>
      <c r="G22" s="782"/>
    </row>
    <row r="23" spans="1:7" s="226" customFormat="1">
      <c r="A23" s="310">
        <v>605.29999999999995</v>
      </c>
      <c r="B23" s="299" t="s">
        <v>474</v>
      </c>
      <c r="C23" s="781"/>
      <c r="D23" s="781"/>
      <c r="E23" s="781"/>
      <c r="F23" s="781"/>
      <c r="G23" s="782"/>
    </row>
    <row r="24" spans="1:7" s="226" customFormat="1" ht="13.5" thickBot="1">
      <c r="A24" s="310">
        <v>605.9</v>
      </c>
      <c r="B24" s="299" t="s">
        <v>475</v>
      </c>
      <c r="C24" s="783"/>
      <c r="D24" s="783"/>
      <c r="E24" s="783"/>
      <c r="F24" s="783"/>
      <c r="G24" s="784"/>
    </row>
    <row r="25" spans="1:7" ht="14.25" thickBot="1">
      <c r="A25" s="244"/>
      <c r="B25" s="256" t="s">
        <v>85</v>
      </c>
      <c r="C25" s="785">
        <f>SUM(C17)</f>
        <v>4596</v>
      </c>
      <c r="D25" s="785">
        <f>SUM(D17)</f>
        <v>5300</v>
      </c>
      <c r="E25" s="785">
        <f>SUM(E17)</f>
        <v>5500</v>
      </c>
      <c r="F25" s="785">
        <f>SUM(F17)</f>
        <v>5500</v>
      </c>
      <c r="G25" s="786">
        <f>SUM(G17)</f>
        <v>5500</v>
      </c>
    </row>
    <row r="28" spans="1:7" ht="12.75" customHeight="1">
      <c r="B28" s="1777" t="s">
        <v>146</v>
      </c>
      <c r="C28" s="172" t="s">
        <v>144</v>
      </c>
      <c r="D28" s="173" t="s">
        <v>1055</v>
      </c>
      <c r="E28" s="1638" t="s">
        <v>240</v>
      </c>
      <c r="F28" s="172" t="s">
        <v>144</v>
      </c>
      <c r="G28" s="173" t="s">
        <v>1045</v>
      </c>
    </row>
    <row r="29" spans="1:7">
      <c r="B29" s="1778"/>
      <c r="C29" s="172" t="s">
        <v>239</v>
      </c>
      <c r="D29" s="172"/>
      <c r="E29" s="1638"/>
      <c r="F29" s="172" t="s">
        <v>239</v>
      </c>
      <c r="G29" s="172"/>
    </row>
    <row r="30" spans="1:7" ht="12.75" customHeight="1">
      <c r="B30" s="1779"/>
      <c r="C30" s="172" t="s">
        <v>145</v>
      </c>
      <c r="D30" s="245"/>
      <c r="E30" s="1638"/>
      <c r="F30" s="172" t="s">
        <v>145</v>
      </c>
      <c r="G30" s="245"/>
    </row>
  </sheetData>
  <sheetProtection password="CA09" sheet="1"/>
  <protectedRanges>
    <protectedRange sqref="C19:G24 D28:D30 G28:G30" name="Range1"/>
  </protectedRanges>
  <mergeCells count="5">
    <mergeCell ref="E13:E14"/>
    <mergeCell ref="F13:F14"/>
    <mergeCell ref="G13:G14"/>
    <mergeCell ref="B28:B30"/>
    <mergeCell ref="E28:E30"/>
  </mergeCells>
  <printOptions horizontalCentered="1" verticalCentered="1"/>
  <pageMargins left="0" right="0" top="0" bottom="0" header="0.51181102362204722" footer="0.51181102362204722"/>
  <pageSetup paperSize="9" scale="99" orientation="landscape" r:id="rId1"/>
  <headerFooter alignWithMargins="0">
    <oddFooter>&amp;R7.A -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K55"/>
  <sheetViews>
    <sheetView topLeftCell="A16" workbookViewId="0">
      <selection activeCell="F42" sqref="F42"/>
    </sheetView>
  </sheetViews>
  <sheetFormatPr defaultColWidth="9.140625" defaultRowHeight="12.75"/>
  <cols>
    <col min="1" max="1" width="7.140625" style="145" customWidth="1"/>
    <col min="2" max="2" width="46.7109375" style="145" customWidth="1"/>
    <col min="3" max="3" width="9" style="145" customWidth="1"/>
    <col min="4" max="4" width="9.42578125" style="145" customWidth="1"/>
    <col min="5" max="5" width="9.7109375" style="145" customWidth="1"/>
    <col min="6" max="6" width="9.85546875" style="145" customWidth="1"/>
    <col min="7" max="7" width="10.85546875" style="145" customWidth="1"/>
    <col min="8" max="8" width="10" style="145" customWidth="1"/>
    <col min="9" max="9" width="9.5703125" style="145" customWidth="1"/>
    <col min="10" max="10" width="10.28515625" style="145" customWidth="1"/>
    <col min="11" max="11" width="19.28515625" style="145" hidden="1" customWidth="1"/>
    <col min="12" max="16384" width="9.140625" style="145"/>
  </cols>
  <sheetData>
    <row r="1" spans="1:11" ht="13.5" thickBot="1">
      <c r="A1" s="228" t="s">
        <v>236</v>
      </c>
    </row>
    <row r="2" spans="1:11">
      <c r="A2" s="166" t="s">
        <v>120</v>
      </c>
      <c r="B2" s="167"/>
      <c r="C2" s="167"/>
      <c r="D2" s="167"/>
      <c r="E2" s="167"/>
      <c r="F2" s="49"/>
      <c r="G2" s="49"/>
      <c r="H2" s="50"/>
      <c r="I2" s="50"/>
      <c r="J2" s="293"/>
    </row>
    <row r="3" spans="1:11" ht="9" customHeight="1">
      <c r="A3" s="51"/>
      <c r="B3" s="28"/>
      <c r="C3" s="28"/>
      <c r="D3" s="28"/>
      <c r="E3" s="28"/>
      <c r="F3" s="28"/>
      <c r="G3" s="28"/>
      <c r="H3" s="28"/>
      <c r="I3" s="28"/>
      <c r="J3" s="294"/>
    </row>
    <row r="4" spans="1:11" ht="13.5">
      <c r="A4" s="51"/>
      <c r="B4" s="115"/>
      <c r="C4" s="146" t="s">
        <v>74</v>
      </c>
      <c r="D4" s="844" t="s">
        <v>72</v>
      </c>
      <c r="E4" s="845"/>
      <c r="F4" s="846"/>
      <c r="G4" s="157"/>
      <c r="H4" s="157"/>
      <c r="I4" s="248" t="str">
        <f>CONCATENATE("PBA"," ",VALUE('Te dhena fillesat 2022'!$D$4)," ","-"," ",VALUE('Te dhena fillesat 2022'!$D$4+2))</f>
        <v>PBA 2022 - 2024</v>
      </c>
      <c r="J4" s="803"/>
    </row>
    <row r="5" spans="1:11" ht="13.5">
      <c r="A5" s="52"/>
      <c r="B5" s="147" t="s">
        <v>212</v>
      </c>
      <c r="C5" s="720" t="str">
        <f>CONCATENATE('Te dhena fillesat 2022'!$C$7)</f>
        <v>1011205</v>
      </c>
      <c r="D5" s="938" t="str">
        <f>CONCATENATE('Te dhena fillesat 2022'!$D$7)</f>
        <v>Agjensia e Sherbimeve të Sportit</v>
      </c>
      <c r="E5" s="847"/>
      <c r="F5" s="117"/>
      <c r="G5" s="67"/>
      <c r="H5" s="67"/>
      <c r="I5" s="55"/>
      <c r="J5" s="804"/>
    </row>
    <row r="6" spans="1:11" ht="13.5">
      <c r="A6" s="53"/>
      <c r="B6" s="147" t="s">
        <v>210</v>
      </c>
      <c r="C6" s="160"/>
      <c r="D6" s="848"/>
      <c r="E6" s="849"/>
      <c r="F6" s="116"/>
      <c r="G6" s="159"/>
      <c r="H6" s="68"/>
      <c r="I6" s="24" t="s">
        <v>219</v>
      </c>
      <c r="J6" s="804"/>
    </row>
    <row r="7" spans="1:11" ht="5.25" customHeight="1">
      <c r="A7" s="53"/>
      <c r="B7" s="28"/>
      <c r="C7" s="28"/>
      <c r="D7" s="28"/>
      <c r="E7" s="28"/>
      <c r="F7" s="28"/>
      <c r="G7" s="28"/>
      <c r="H7" s="28"/>
      <c r="I7" s="28"/>
      <c r="J7" s="297"/>
    </row>
    <row r="8" spans="1:11" ht="5.25" customHeight="1" thickBot="1">
      <c r="A8" s="54"/>
      <c r="B8" s="48"/>
      <c r="C8" s="48"/>
      <c r="D8" s="47"/>
      <c r="E8" s="47"/>
      <c r="F8" s="48"/>
      <c r="G8" s="48"/>
      <c r="H8" s="47"/>
      <c r="I8" s="47"/>
      <c r="J8" s="57"/>
    </row>
    <row r="9" spans="1:11" ht="5.25" customHeight="1" thickBot="1">
      <c r="A9" s="108"/>
      <c r="B9" s="29"/>
      <c r="C9" s="29"/>
      <c r="D9" s="29"/>
      <c r="E9" s="29"/>
      <c r="F9" s="26"/>
      <c r="G9" s="26"/>
      <c r="H9" s="29"/>
      <c r="I9" s="29"/>
      <c r="J9" s="26"/>
      <c r="K9" s="29"/>
    </row>
    <row r="10" spans="1:11" ht="5.25" customHeight="1">
      <c r="A10" s="58"/>
      <c r="B10" s="46"/>
      <c r="C10" s="46"/>
      <c r="D10" s="46"/>
      <c r="E10" s="46"/>
      <c r="F10" s="46"/>
      <c r="G10" s="46"/>
      <c r="H10" s="46"/>
      <c r="I10" s="46"/>
      <c r="J10" s="59"/>
    </row>
    <row r="11" spans="1:11" ht="11.25" customHeight="1">
      <c r="A11" s="53"/>
      <c r="B11" s="28" t="s">
        <v>79</v>
      </c>
      <c r="C11" s="28"/>
      <c r="D11" s="31" t="s">
        <v>109</v>
      </c>
      <c r="E11" s="31"/>
      <c r="F11" s="28"/>
      <c r="G11" s="28"/>
      <c r="H11" s="31"/>
      <c r="I11" s="31"/>
      <c r="J11" s="60"/>
    </row>
    <row r="12" spans="1:11" ht="4.5" customHeight="1" thickBot="1">
      <c r="A12" s="61"/>
      <c r="B12" s="62"/>
      <c r="C12" s="62"/>
      <c r="D12" s="62"/>
      <c r="E12" s="62"/>
      <c r="F12" s="62"/>
      <c r="G12" s="62"/>
      <c r="H12" s="62"/>
      <c r="I12" s="62"/>
      <c r="J12" s="63"/>
    </row>
    <row r="13" spans="1:11">
      <c r="A13" s="41"/>
      <c r="B13" s="257" t="s">
        <v>110</v>
      </c>
      <c r="C13" s="1780" t="str">
        <f>CONCATENATE("I pritshmi i vitit"," ",VALUE('Te dhena fillesat 2022'!$D$4-1))</f>
        <v>I pritshmi i vitit 2021</v>
      </c>
      <c r="D13" s="1781"/>
      <c r="E13" s="1780" t="str">
        <f>CONCATENATE("Parashikimi për vitin"," ",VALUE('Te dhena fillesat 2022'!$D$4))</f>
        <v>Parashikimi për vitin 2022</v>
      </c>
      <c r="F13" s="1781"/>
      <c r="G13" s="1780" t="str">
        <f>CONCATENATE("Parashikimi për vitin"," ",VALUE('Te dhena fillesat 2022'!$D$4+1))</f>
        <v>Parashikimi për vitin 2023</v>
      </c>
      <c r="H13" s="1781"/>
      <c r="I13" s="1782" t="str">
        <f>CONCATENATE("Parashikimi për vitin"," ",VALUE('Te dhena fillesat 2022'!$D$4+2))</f>
        <v>Parashikimi për vitin 2024</v>
      </c>
      <c r="J13" s="1783"/>
    </row>
    <row r="14" spans="1:11" ht="12" customHeight="1">
      <c r="A14" s="44" t="s">
        <v>106</v>
      </c>
      <c r="B14" s="258"/>
      <c r="C14" s="156" t="s">
        <v>114</v>
      </c>
      <c r="D14" s="156" t="s">
        <v>73</v>
      </c>
      <c r="E14" s="156" t="s">
        <v>114</v>
      </c>
      <c r="F14" s="156" t="s">
        <v>73</v>
      </c>
      <c r="G14" s="156" t="s">
        <v>114</v>
      </c>
      <c r="H14" s="156" t="s">
        <v>73</v>
      </c>
      <c r="I14" s="156" t="s">
        <v>114</v>
      </c>
      <c r="J14" s="797" t="s">
        <v>73</v>
      </c>
    </row>
    <row r="15" spans="1:11" ht="3.75" hidden="1" customHeight="1">
      <c r="A15" s="56"/>
      <c r="B15" s="259"/>
      <c r="C15" s="17"/>
      <c r="D15" s="19"/>
      <c r="E15" s="19"/>
      <c r="F15" s="19"/>
      <c r="G15" s="19"/>
      <c r="H15" s="19"/>
      <c r="I15" s="22"/>
      <c r="J15" s="307"/>
    </row>
    <row r="16" spans="1:11" ht="13.5" thickBot="1">
      <c r="A16" s="798">
        <v>1</v>
      </c>
      <c r="B16" s="20">
        <v>2</v>
      </c>
      <c r="C16" s="20">
        <v>3</v>
      </c>
      <c r="D16" s="20">
        <v>4</v>
      </c>
      <c r="E16" s="20">
        <v>5</v>
      </c>
      <c r="F16" s="18">
        <v>6</v>
      </c>
      <c r="G16" s="18">
        <v>7</v>
      </c>
      <c r="H16" s="18">
        <v>8</v>
      </c>
      <c r="I16" s="158"/>
      <c r="J16" s="799">
        <v>6</v>
      </c>
    </row>
    <row r="17" spans="1:10" ht="13.5" thickTop="1">
      <c r="A17" s="800"/>
      <c r="B17" s="313" t="s">
        <v>97</v>
      </c>
      <c r="C17" s="811">
        <f>SUM(C18,C28,C38)</f>
        <v>0</v>
      </c>
      <c r="D17" s="811">
        <f t="shared" ref="D17:J17" si="0">SUM(D18,D28,D38)</f>
        <v>0</v>
      </c>
      <c r="E17" s="811">
        <f t="shared" si="0"/>
        <v>0</v>
      </c>
      <c r="F17" s="811">
        <f t="shared" si="0"/>
        <v>0</v>
      </c>
      <c r="G17" s="811">
        <f t="shared" si="0"/>
        <v>0</v>
      </c>
      <c r="H17" s="811">
        <f t="shared" si="0"/>
        <v>0</v>
      </c>
      <c r="I17" s="811">
        <f t="shared" si="0"/>
        <v>0</v>
      </c>
      <c r="J17" s="812">
        <f t="shared" si="0"/>
        <v>0</v>
      </c>
    </row>
    <row r="18" spans="1:10" s="316" customFormat="1">
      <c r="A18" s="801">
        <v>606</v>
      </c>
      <c r="B18" s="311" t="s">
        <v>456</v>
      </c>
      <c r="C18" s="813">
        <f>SUM(C19:C27)</f>
        <v>0</v>
      </c>
      <c r="D18" s="813">
        <f t="shared" ref="D18:J18" si="1">SUM(D19:D27)</f>
        <v>0</v>
      </c>
      <c r="E18" s="813">
        <f t="shared" si="1"/>
        <v>0</v>
      </c>
      <c r="F18" s="813">
        <f t="shared" si="1"/>
        <v>0</v>
      </c>
      <c r="G18" s="813">
        <f t="shared" si="1"/>
        <v>0</v>
      </c>
      <c r="H18" s="813">
        <f t="shared" si="1"/>
        <v>0</v>
      </c>
      <c r="I18" s="813">
        <f t="shared" si="1"/>
        <v>0</v>
      </c>
      <c r="J18" s="814">
        <f t="shared" si="1"/>
        <v>0</v>
      </c>
    </row>
    <row r="19" spans="1:10" ht="10.5" customHeight="1">
      <c r="A19" s="805">
        <v>606.00009999999997</v>
      </c>
      <c r="B19" s="767" t="s">
        <v>432</v>
      </c>
      <c r="C19" s="815"/>
      <c r="D19" s="815"/>
      <c r="E19" s="815"/>
      <c r="F19" s="815"/>
      <c r="G19" s="815"/>
      <c r="H19" s="815"/>
      <c r="I19" s="815"/>
      <c r="J19" s="816"/>
    </row>
    <row r="20" spans="1:10" ht="10.5" customHeight="1">
      <c r="A20" s="806">
        <v>606.00019999999995</v>
      </c>
      <c r="B20" s="769" t="s">
        <v>433</v>
      </c>
      <c r="C20" s="817"/>
      <c r="D20" s="817"/>
      <c r="E20" s="817"/>
      <c r="F20" s="817"/>
      <c r="G20" s="817"/>
      <c r="H20" s="817"/>
      <c r="I20" s="817"/>
      <c r="J20" s="818"/>
    </row>
    <row r="21" spans="1:10" ht="10.5" customHeight="1">
      <c r="A21" s="806">
        <v>606.00030000000004</v>
      </c>
      <c r="B21" s="769" t="s">
        <v>434</v>
      </c>
      <c r="C21" s="817"/>
      <c r="D21" s="817"/>
      <c r="E21" s="817"/>
      <c r="F21" s="817"/>
      <c r="G21" s="817"/>
      <c r="H21" s="817"/>
      <c r="I21" s="817"/>
      <c r="J21" s="818"/>
    </row>
    <row r="22" spans="1:10" ht="10.5" customHeight="1">
      <c r="A22" s="806">
        <v>606.00040000000001</v>
      </c>
      <c r="B22" s="769" t="s">
        <v>435</v>
      </c>
      <c r="C22" s="817"/>
      <c r="D22" s="817"/>
      <c r="E22" s="817"/>
      <c r="F22" s="817"/>
      <c r="G22" s="817"/>
      <c r="H22" s="817"/>
      <c r="I22" s="817"/>
      <c r="J22" s="818"/>
    </row>
    <row r="23" spans="1:10" ht="10.5" customHeight="1">
      <c r="A23" s="806">
        <v>606.00049999999999</v>
      </c>
      <c r="B23" s="769" t="s">
        <v>436</v>
      </c>
      <c r="C23" s="817"/>
      <c r="D23" s="817"/>
      <c r="E23" s="817"/>
      <c r="F23" s="817"/>
      <c r="G23" s="817"/>
      <c r="H23" s="817"/>
      <c r="I23" s="817"/>
      <c r="J23" s="818"/>
    </row>
    <row r="24" spans="1:10" ht="10.5" customHeight="1">
      <c r="A24" s="806">
        <v>606.00059999999996</v>
      </c>
      <c r="B24" s="769" t="s">
        <v>437</v>
      </c>
      <c r="C24" s="817"/>
      <c r="D24" s="817"/>
      <c r="E24" s="817"/>
      <c r="F24" s="817"/>
      <c r="G24" s="817"/>
      <c r="H24" s="817"/>
      <c r="I24" s="817"/>
      <c r="J24" s="818"/>
    </row>
    <row r="25" spans="1:10" ht="10.5" customHeight="1">
      <c r="A25" s="806">
        <v>606.00070000000005</v>
      </c>
      <c r="B25" s="769" t="s">
        <v>438</v>
      </c>
      <c r="C25" s="817"/>
      <c r="D25" s="817"/>
      <c r="E25" s="817"/>
      <c r="F25" s="817"/>
      <c r="G25" s="817"/>
      <c r="H25" s="817"/>
      <c r="I25" s="817"/>
      <c r="J25" s="818"/>
    </row>
    <row r="26" spans="1:10" ht="10.5" customHeight="1">
      <c r="A26" s="806">
        <v>606.00080000000003</v>
      </c>
      <c r="B26" s="769" t="s">
        <v>439</v>
      </c>
      <c r="C26" s="817"/>
      <c r="D26" s="817"/>
      <c r="E26" s="817"/>
      <c r="F26" s="817"/>
      <c r="G26" s="817"/>
      <c r="H26" s="817"/>
      <c r="I26" s="817"/>
      <c r="J26" s="818"/>
    </row>
    <row r="27" spans="1:10" ht="10.5" customHeight="1">
      <c r="A27" s="807">
        <v>606.0009</v>
      </c>
      <c r="B27" s="771" t="s">
        <v>440</v>
      </c>
      <c r="C27" s="819"/>
      <c r="D27" s="819"/>
      <c r="E27" s="819"/>
      <c r="F27" s="819"/>
      <c r="G27" s="819"/>
      <c r="H27" s="819"/>
      <c r="I27" s="819"/>
      <c r="J27" s="820"/>
    </row>
    <row r="28" spans="1:10" s="316" customFormat="1">
      <c r="A28" s="802">
        <v>606.00099999999998</v>
      </c>
      <c r="B28" s="311" t="s">
        <v>441</v>
      </c>
      <c r="C28" s="813">
        <f>SUM(C29:C37)</f>
        <v>0</v>
      </c>
      <c r="D28" s="813">
        <f t="shared" ref="D28:J28" si="2">SUM(D29:D37)</f>
        <v>0</v>
      </c>
      <c r="E28" s="813">
        <f t="shared" si="2"/>
        <v>0</v>
      </c>
      <c r="F28" s="813">
        <f t="shared" si="2"/>
        <v>0</v>
      </c>
      <c r="G28" s="813">
        <f t="shared" si="2"/>
        <v>0</v>
      </c>
      <c r="H28" s="813">
        <f t="shared" si="2"/>
        <v>0</v>
      </c>
      <c r="I28" s="813">
        <f t="shared" si="2"/>
        <v>0</v>
      </c>
      <c r="J28" s="814">
        <f t="shared" si="2"/>
        <v>0</v>
      </c>
    </row>
    <row r="29" spans="1:10" ht="10.5" customHeight="1">
      <c r="A29" s="805">
        <v>606.00109999999995</v>
      </c>
      <c r="B29" s="767" t="s">
        <v>442</v>
      </c>
      <c r="C29" s="815"/>
      <c r="D29" s="815"/>
      <c r="E29" s="815"/>
      <c r="F29" s="815"/>
      <c r="G29" s="815"/>
      <c r="H29" s="815"/>
      <c r="I29" s="815"/>
      <c r="J29" s="816"/>
    </row>
    <row r="30" spans="1:10" ht="10.5" customHeight="1">
      <c r="A30" s="806">
        <v>606.00120000000004</v>
      </c>
      <c r="B30" s="769" t="s">
        <v>443</v>
      </c>
      <c r="C30" s="817"/>
      <c r="D30" s="817"/>
      <c r="E30" s="817"/>
      <c r="F30" s="817"/>
      <c r="G30" s="817"/>
      <c r="H30" s="817"/>
      <c r="I30" s="817"/>
      <c r="J30" s="818"/>
    </row>
    <row r="31" spans="1:10" ht="10.5" customHeight="1">
      <c r="A31" s="806">
        <v>606.00130000000001</v>
      </c>
      <c r="B31" s="769" t="s">
        <v>444</v>
      </c>
      <c r="C31" s="817"/>
      <c r="D31" s="817"/>
      <c r="E31" s="817"/>
      <c r="F31" s="817"/>
      <c r="G31" s="817"/>
      <c r="H31" s="817"/>
      <c r="I31" s="817"/>
      <c r="J31" s="818"/>
    </row>
    <row r="32" spans="1:10" ht="10.5" customHeight="1">
      <c r="A32" s="806">
        <v>606.00139999999999</v>
      </c>
      <c r="B32" s="769" t="s">
        <v>445</v>
      </c>
      <c r="C32" s="817"/>
      <c r="D32" s="817"/>
      <c r="E32" s="817"/>
      <c r="F32" s="817"/>
      <c r="G32" s="817"/>
      <c r="H32" s="817"/>
      <c r="I32" s="817"/>
      <c r="J32" s="818"/>
    </row>
    <row r="33" spans="1:10" ht="10.5" customHeight="1">
      <c r="A33" s="806">
        <v>606.00170000000003</v>
      </c>
      <c r="B33" s="769" t="s">
        <v>457</v>
      </c>
      <c r="C33" s="817"/>
      <c r="D33" s="817"/>
      <c r="E33" s="817"/>
      <c r="F33" s="817"/>
      <c r="G33" s="817"/>
      <c r="H33" s="817"/>
      <c r="I33" s="817"/>
      <c r="J33" s="818"/>
    </row>
    <row r="34" spans="1:10" ht="10.5" customHeight="1">
      <c r="A34" s="806">
        <v>606.0018</v>
      </c>
      <c r="B34" s="769" t="s">
        <v>446</v>
      </c>
      <c r="C34" s="817"/>
      <c r="D34" s="817"/>
      <c r="E34" s="817"/>
      <c r="F34" s="817"/>
      <c r="G34" s="817"/>
      <c r="H34" s="817"/>
      <c r="I34" s="817"/>
      <c r="J34" s="818"/>
    </row>
    <row r="35" spans="1:10" ht="10.5" customHeight="1">
      <c r="A35" s="806">
        <v>606.00210000000004</v>
      </c>
      <c r="B35" s="769" t="s">
        <v>447</v>
      </c>
      <c r="C35" s="817"/>
      <c r="D35" s="817"/>
      <c r="E35" s="817"/>
      <c r="F35" s="817"/>
      <c r="G35" s="817"/>
      <c r="H35" s="817"/>
      <c r="I35" s="817"/>
      <c r="J35" s="818"/>
    </row>
    <row r="36" spans="1:10" ht="10.5" customHeight="1">
      <c r="A36" s="806">
        <v>606.00220000000002</v>
      </c>
      <c r="B36" s="769" t="s">
        <v>448</v>
      </c>
      <c r="C36" s="817"/>
      <c r="D36" s="817"/>
      <c r="E36" s="817"/>
      <c r="F36" s="817"/>
      <c r="G36" s="817"/>
      <c r="H36" s="817"/>
      <c r="I36" s="817"/>
      <c r="J36" s="818"/>
    </row>
    <row r="37" spans="1:10" ht="10.5" customHeight="1">
      <c r="A37" s="807">
        <v>606.00990000000002</v>
      </c>
      <c r="B37" s="771" t="s">
        <v>459</v>
      </c>
      <c r="C37" s="819"/>
      <c r="D37" s="819"/>
      <c r="E37" s="819"/>
      <c r="F37" s="819"/>
      <c r="G37" s="819"/>
      <c r="H37" s="819"/>
      <c r="I37" s="819"/>
      <c r="J37" s="820"/>
    </row>
    <row r="38" spans="1:10" s="316" customFormat="1">
      <c r="A38" s="802">
        <v>606.1</v>
      </c>
      <c r="B38" s="311" t="s">
        <v>455</v>
      </c>
      <c r="C38" s="813">
        <f>SUM(C39:C48)</f>
        <v>0</v>
      </c>
      <c r="D38" s="813">
        <f t="shared" ref="D38:J38" si="3">SUM(D39:D48)</f>
        <v>0</v>
      </c>
      <c r="E38" s="813">
        <f t="shared" si="3"/>
        <v>0</v>
      </c>
      <c r="F38" s="813">
        <f t="shared" si="3"/>
        <v>0</v>
      </c>
      <c r="G38" s="813">
        <f t="shared" si="3"/>
        <v>0</v>
      </c>
      <c r="H38" s="813">
        <f t="shared" si="3"/>
        <v>0</v>
      </c>
      <c r="I38" s="813">
        <f t="shared" si="3"/>
        <v>0</v>
      </c>
      <c r="J38" s="814">
        <f t="shared" si="3"/>
        <v>0</v>
      </c>
    </row>
    <row r="39" spans="1:10" ht="12" customHeight="1">
      <c r="A39" s="808">
        <v>606.1</v>
      </c>
      <c r="B39" s="767" t="s">
        <v>461</v>
      </c>
      <c r="C39" s="815"/>
      <c r="D39" s="815"/>
      <c r="E39" s="815"/>
      <c r="F39" s="815"/>
      <c r="G39" s="815"/>
      <c r="H39" s="815"/>
      <c r="I39" s="815"/>
      <c r="J39" s="816"/>
    </row>
    <row r="40" spans="1:10" ht="12" customHeight="1">
      <c r="A40" s="806">
        <v>606.1001</v>
      </c>
      <c r="B40" s="769" t="s">
        <v>449</v>
      </c>
      <c r="C40" s="817"/>
      <c r="D40" s="817"/>
      <c r="E40" s="817"/>
      <c r="F40" s="817"/>
      <c r="G40" s="817"/>
      <c r="H40" s="817"/>
      <c r="I40" s="817"/>
      <c r="J40" s="818"/>
    </row>
    <row r="41" spans="1:10" ht="12" customHeight="1">
      <c r="A41" s="806">
        <v>606.10019999999997</v>
      </c>
      <c r="B41" s="769" t="s">
        <v>450</v>
      </c>
      <c r="C41" s="817"/>
      <c r="D41" s="817"/>
      <c r="E41" s="817"/>
      <c r="F41" s="817"/>
      <c r="G41" s="817"/>
      <c r="H41" s="817"/>
      <c r="I41" s="817"/>
      <c r="J41" s="818"/>
    </row>
    <row r="42" spans="1:10" ht="12" customHeight="1">
      <c r="A42" s="806">
        <v>606.10029999999995</v>
      </c>
      <c r="B42" s="769" t="s">
        <v>451</v>
      </c>
      <c r="C42" s="817"/>
      <c r="D42" s="817"/>
      <c r="E42" s="817"/>
      <c r="F42" s="817"/>
      <c r="G42" s="817"/>
      <c r="H42" s="817"/>
      <c r="I42" s="817"/>
      <c r="J42" s="818"/>
    </row>
    <row r="43" spans="1:10" ht="12" customHeight="1">
      <c r="A43" s="806">
        <v>606.10040000000004</v>
      </c>
      <c r="B43" s="769" t="s">
        <v>460</v>
      </c>
      <c r="C43" s="817"/>
      <c r="D43" s="817"/>
      <c r="E43" s="817"/>
      <c r="F43" s="817"/>
      <c r="G43" s="817"/>
      <c r="H43" s="817"/>
      <c r="I43" s="817"/>
      <c r="J43" s="818"/>
    </row>
    <row r="44" spans="1:10" ht="12" customHeight="1">
      <c r="A44" s="806">
        <v>606.10050000000001</v>
      </c>
      <c r="B44" s="769" t="s">
        <v>452</v>
      </c>
      <c r="C44" s="817"/>
      <c r="D44" s="817"/>
      <c r="E44" s="817"/>
      <c r="F44" s="817"/>
      <c r="G44" s="817"/>
      <c r="H44" s="817"/>
      <c r="I44" s="817"/>
      <c r="J44" s="818"/>
    </row>
    <row r="45" spans="1:10" ht="12" customHeight="1">
      <c r="A45" s="806">
        <v>606.10209999999995</v>
      </c>
      <c r="B45" s="769" t="s">
        <v>453</v>
      </c>
      <c r="C45" s="1100"/>
      <c r="D45" s="1100"/>
      <c r="E45" s="817"/>
      <c r="F45" s="817"/>
      <c r="G45" s="817"/>
      <c r="H45" s="1100"/>
      <c r="I45" s="817"/>
      <c r="J45" s="817"/>
    </row>
    <row r="46" spans="1:10" ht="12" customHeight="1">
      <c r="A46" s="806">
        <v>606.10310000000004</v>
      </c>
      <c r="B46" s="769" t="s">
        <v>454</v>
      </c>
      <c r="C46" s="817"/>
      <c r="D46" s="817"/>
      <c r="E46" s="817"/>
      <c r="F46" s="817"/>
      <c r="G46" s="817"/>
      <c r="H46" s="817"/>
      <c r="I46" s="817"/>
      <c r="J46" s="818"/>
    </row>
    <row r="47" spans="1:10" ht="12" customHeight="1">
      <c r="A47" s="806">
        <v>606.10410000000002</v>
      </c>
      <c r="B47" s="769" t="s">
        <v>458</v>
      </c>
      <c r="C47" s="817"/>
      <c r="D47" s="817"/>
      <c r="E47" s="817"/>
      <c r="F47" s="817"/>
      <c r="G47" s="817"/>
      <c r="H47" s="817"/>
      <c r="I47" s="817"/>
      <c r="J47" s="818"/>
    </row>
    <row r="48" spans="1:10" ht="12" customHeight="1" thickBot="1">
      <c r="A48" s="809">
        <v>606.10990000000004</v>
      </c>
      <c r="B48" s="810" t="s">
        <v>789</v>
      </c>
      <c r="C48" s="821"/>
      <c r="D48" s="821"/>
      <c r="E48" s="821"/>
      <c r="F48" s="821"/>
      <c r="G48" s="821"/>
      <c r="H48" s="1101"/>
      <c r="I48" s="821"/>
      <c r="J48" s="821"/>
    </row>
    <row r="49" spans="1:10" s="316" customFormat="1" ht="14.25" thickBot="1">
      <c r="A49" s="244"/>
      <c r="B49" s="312" t="s">
        <v>115</v>
      </c>
      <c r="C49" s="822">
        <f>SUM(C17)</f>
        <v>0</v>
      </c>
      <c r="D49" s="822">
        <f t="shared" ref="D49:J49" si="4">SUM(D17)</f>
        <v>0</v>
      </c>
      <c r="E49" s="822">
        <f t="shared" si="4"/>
        <v>0</v>
      </c>
      <c r="F49" s="822">
        <f t="shared" si="4"/>
        <v>0</v>
      </c>
      <c r="G49" s="822">
        <f t="shared" si="4"/>
        <v>0</v>
      </c>
      <c r="H49" s="822">
        <f t="shared" si="4"/>
        <v>0</v>
      </c>
      <c r="I49" s="822">
        <f t="shared" si="4"/>
        <v>0</v>
      </c>
      <c r="J49" s="823">
        <f t="shared" si="4"/>
        <v>0</v>
      </c>
    </row>
    <row r="50" spans="1:10" hidden="1"/>
    <row r="51" spans="1:10" hidden="1"/>
    <row r="52" spans="1:10" ht="16.5" customHeight="1">
      <c r="C52" s="1635" t="s">
        <v>146</v>
      </c>
      <c r="D52" s="172" t="s">
        <v>144</v>
      </c>
      <c r="E52" s="173" t="s">
        <v>1044</v>
      </c>
      <c r="G52" s="1638" t="s">
        <v>240</v>
      </c>
      <c r="H52" s="172" t="s">
        <v>144</v>
      </c>
      <c r="I52" s="173" t="s">
        <v>1045</v>
      </c>
    </row>
    <row r="53" spans="1:10">
      <c r="C53" s="1636"/>
      <c r="D53" s="172" t="s">
        <v>239</v>
      </c>
      <c r="E53" s="174"/>
      <c r="G53" s="1638"/>
      <c r="H53" s="172" t="s">
        <v>239</v>
      </c>
      <c r="I53" s="172"/>
    </row>
    <row r="54" spans="1:10" ht="15" customHeight="1">
      <c r="C54" s="1637"/>
      <c r="D54" s="172" t="s">
        <v>145</v>
      </c>
      <c r="E54" s="176"/>
      <c r="G54" s="1638"/>
      <c r="H54" s="172" t="s">
        <v>145</v>
      </c>
      <c r="I54" s="245"/>
    </row>
    <row r="55" spans="1:10" ht="12.75" customHeight="1"/>
  </sheetData>
  <sheetProtection password="CA09" sheet="1"/>
  <protectedRanges>
    <protectedRange sqref="C19:J27 C29:J37 C39:J48 E52:E54 I52:I54" name="Range1"/>
  </protectedRanges>
  <mergeCells count="6">
    <mergeCell ref="C13:D13"/>
    <mergeCell ref="E13:F13"/>
    <mergeCell ref="G13:H13"/>
    <mergeCell ref="I13:J13"/>
    <mergeCell ref="C52:C54"/>
    <mergeCell ref="G52:G54"/>
  </mergeCells>
  <pageMargins left="0.17" right="0.2" top="0.41" bottom="0.41" header="0.22" footer="0.19"/>
  <pageSetup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S53"/>
  <sheetViews>
    <sheetView topLeftCell="A19" workbookViewId="0">
      <selection activeCell="K22" sqref="K22"/>
    </sheetView>
  </sheetViews>
  <sheetFormatPr defaultColWidth="7.85546875" defaultRowHeight="12.75"/>
  <cols>
    <col min="1" max="1" width="2.7109375" style="1299" customWidth="1"/>
    <col min="2" max="2" width="1.140625" style="1299" customWidth="1"/>
    <col min="3" max="3" width="1.5703125" style="1299" customWidth="1"/>
    <col min="4" max="4" width="2.5703125" style="1299" customWidth="1"/>
    <col min="5" max="5" width="3" style="1299" customWidth="1"/>
    <col min="6" max="6" width="34.42578125" style="1299" customWidth="1"/>
    <col min="7" max="7" width="12.42578125" style="1300" customWidth="1"/>
    <col min="8" max="8" width="12.140625" style="1300" customWidth="1"/>
    <col min="9" max="9" width="13.42578125" style="1300" customWidth="1"/>
    <col min="10" max="10" width="11.5703125" style="1300" customWidth="1"/>
    <col min="11" max="11" width="14.140625" style="1300" customWidth="1"/>
    <col min="12" max="12" width="10.140625" style="1300" customWidth="1"/>
    <col min="13" max="13" width="11.28515625" style="1300" customWidth="1"/>
    <col min="14" max="14" width="8.7109375" style="1300" customWidth="1"/>
    <col min="15" max="15" width="13.42578125" style="1300" customWidth="1"/>
    <col min="16" max="17" width="11.42578125" style="1300" customWidth="1"/>
    <col min="18" max="18" width="15" style="1300" customWidth="1"/>
    <col min="19" max="256" width="7.85546875" style="1299"/>
    <col min="257" max="257" width="2.7109375" style="1299" customWidth="1"/>
    <col min="258" max="258" width="1.140625" style="1299" customWidth="1"/>
    <col min="259" max="259" width="1.5703125" style="1299" customWidth="1"/>
    <col min="260" max="260" width="2.5703125" style="1299" customWidth="1"/>
    <col min="261" max="261" width="3" style="1299" customWidth="1"/>
    <col min="262" max="262" width="34.42578125" style="1299" customWidth="1"/>
    <col min="263" max="263" width="14.28515625" style="1299" customWidth="1"/>
    <col min="264" max="264" width="14.42578125" style="1299" customWidth="1"/>
    <col min="265" max="265" width="13.28515625" style="1299" customWidth="1"/>
    <col min="266" max="266" width="12.140625" style="1299" customWidth="1"/>
    <col min="267" max="267" width="14.140625" style="1299" customWidth="1"/>
    <col min="268" max="268" width="10.140625" style="1299" customWidth="1"/>
    <col min="269" max="269" width="11.28515625" style="1299" customWidth="1"/>
    <col min="270" max="270" width="8.7109375" style="1299" customWidth="1"/>
    <col min="271" max="273" width="11.42578125" style="1299" customWidth="1"/>
    <col min="274" max="274" width="15" style="1299" customWidth="1"/>
    <col min="275" max="512" width="7.85546875" style="1299"/>
    <col min="513" max="513" width="2.7109375" style="1299" customWidth="1"/>
    <col min="514" max="514" width="1.140625" style="1299" customWidth="1"/>
    <col min="515" max="515" width="1.5703125" style="1299" customWidth="1"/>
    <col min="516" max="516" width="2.5703125" style="1299" customWidth="1"/>
    <col min="517" max="517" width="3" style="1299" customWidth="1"/>
    <col min="518" max="518" width="34.42578125" style="1299" customWidth="1"/>
    <col min="519" max="519" width="14.28515625" style="1299" customWidth="1"/>
    <col min="520" max="520" width="14.42578125" style="1299" customWidth="1"/>
    <col min="521" max="521" width="13.28515625" style="1299" customWidth="1"/>
    <col min="522" max="522" width="12.140625" style="1299" customWidth="1"/>
    <col min="523" max="523" width="14.140625" style="1299" customWidth="1"/>
    <col min="524" max="524" width="10.140625" style="1299" customWidth="1"/>
    <col min="525" max="525" width="11.28515625" style="1299" customWidth="1"/>
    <col min="526" max="526" width="8.7109375" style="1299" customWidth="1"/>
    <col min="527" max="529" width="11.42578125" style="1299" customWidth="1"/>
    <col min="530" max="530" width="15" style="1299" customWidth="1"/>
    <col min="531" max="768" width="7.85546875" style="1299"/>
    <col min="769" max="769" width="2.7109375" style="1299" customWidth="1"/>
    <col min="770" max="770" width="1.140625" style="1299" customWidth="1"/>
    <col min="771" max="771" width="1.5703125" style="1299" customWidth="1"/>
    <col min="772" max="772" width="2.5703125" style="1299" customWidth="1"/>
    <col min="773" max="773" width="3" style="1299" customWidth="1"/>
    <col min="774" max="774" width="34.42578125" style="1299" customWidth="1"/>
    <col min="775" max="775" width="14.28515625" style="1299" customWidth="1"/>
    <col min="776" max="776" width="14.42578125" style="1299" customWidth="1"/>
    <col min="777" max="777" width="13.28515625" style="1299" customWidth="1"/>
    <col min="778" max="778" width="12.140625" style="1299" customWidth="1"/>
    <col min="779" max="779" width="14.140625" style="1299" customWidth="1"/>
    <col min="780" max="780" width="10.140625" style="1299" customWidth="1"/>
    <col min="781" max="781" width="11.28515625" style="1299" customWidth="1"/>
    <col min="782" max="782" width="8.7109375" style="1299" customWidth="1"/>
    <col min="783" max="785" width="11.42578125" style="1299" customWidth="1"/>
    <col min="786" max="786" width="15" style="1299" customWidth="1"/>
    <col min="787" max="1024" width="7.85546875" style="1299"/>
    <col min="1025" max="1025" width="2.7109375" style="1299" customWidth="1"/>
    <col min="1026" max="1026" width="1.140625" style="1299" customWidth="1"/>
    <col min="1027" max="1027" width="1.5703125" style="1299" customWidth="1"/>
    <col min="1028" max="1028" width="2.5703125" style="1299" customWidth="1"/>
    <col min="1029" max="1029" width="3" style="1299" customWidth="1"/>
    <col min="1030" max="1030" width="34.42578125" style="1299" customWidth="1"/>
    <col min="1031" max="1031" width="14.28515625" style="1299" customWidth="1"/>
    <col min="1032" max="1032" width="14.42578125" style="1299" customWidth="1"/>
    <col min="1033" max="1033" width="13.28515625" style="1299" customWidth="1"/>
    <col min="1034" max="1034" width="12.140625" style="1299" customWidth="1"/>
    <col min="1035" max="1035" width="14.140625" style="1299" customWidth="1"/>
    <col min="1036" max="1036" width="10.140625" style="1299" customWidth="1"/>
    <col min="1037" max="1037" width="11.28515625" style="1299" customWidth="1"/>
    <col min="1038" max="1038" width="8.7109375" style="1299" customWidth="1"/>
    <col min="1039" max="1041" width="11.42578125" style="1299" customWidth="1"/>
    <col min="1042" max="1042" width="15" style="1299" customWidth="1"/>
    <col min="1043" max="1280" width="7.85546875" style="1299"/>
    <col min="1281" max="1281" width="2.7109375" style="1299" customWidth="1"/>
    <col min="1282" max="1282" width="1.140625" style="1299" customWidth="1"/>
    <col min="1283" max="1283" width="1.5703125" style="1299" customWidth="1"/>
    <col min="1284" max="1284" width="2.5703125" style="1299" customWidth="1"/>
    <col min="1285" max="1285" width="3" style="1299" customWidth="1"/>
    <col min="1286" max="1286" width="34.42578125" style="1299" customWidth="1"/>
    <col min="1287" max="1287" width="14.28515625" style="1299" customWidth="1"/>
    <col min="1288" max="1288" width="14.42578125" style="1299" customWidth="1"/>
    <col min="1289" max="1289" width="13.28515625" style="1299" customWidth="1"/>
    <col min="1290" max="1290" width="12.140625" style="1299" customWidth="1"/>
    <col min="1291" max="1291" width="14.140625" style="1299" customWidth="1"/>
    <col min="1292" max="1292" width="10.140625" style="1299" customWidth="1"/>
    <col min="1293" max="1293" width="11.28515625" style="1299" customWidth="1"/>
    <col min="1294" max="1294" width="8.7109375" style="1299" customWidth="1"/>
    <col min="1295" max="1297" width="11.42578125" style="1299" customWidth="1"/>
    <col min="1298" max="1298" width="15" style="1299" customWidth="1"/>
    <col min="1299" max="1536" width="7.85546875" style="1299"/>
    <col min="1537" max="1537" width="2.7109375" style="1299" customWidth="1"/>
    <col min="1538" max="1538" width="1.140625" style="1299" customWidth="1"/>
    <col min="1539" max="1539" width="1.5703125" style="1299" customWidth="1"/>
    <col min="1540" max="1540" width="2.5703125" style="1299" customWidth="1"/>
    <col min="1541" max="1541" width="3" style="1299" customWidth="1"/>
    <col min="1542" max="1542" width="34.42578125" style="1299" customWidth="1"/>
    <col min="1543" max="1543" width="14.28515625" style="1299" customWidth="1"/>
    <col min="1544" max="1544" width="14.42578125" style="1299" customWidth="1"/>
    <col min="1545" max="1545" width="13.28515625" style="1299" customWidth="1"/>
    <col min="1546" max="1546" width="12.140625" style="1299" customWidth="1"/>
    <col min="1547" max="1547" width="14.140625" style="1299" customWidth="1"/>
    <col min="1548" max="1548" width="10.140625" style="1299" customWidth="1"/>
    <col min="1549" max="1549" width="11.28515625" style="1299" customWidth="1"/>
    <col min="1550" max="1550" width="8.7109375" style="1299" customWidth="1"/>
    <col min="1551" max="1553" width="11.42578125" style="1299" customWidth="1"/>
    <col min="1554" max="1554" width="15" style="1299" customWidth="1"/>
    <col min="1555" max="1792" width="7.85546875" style="1299"/>
    <col min="1793" max="1793" width="2.7109375" style="1299" customWidth="1"/>
    <col min="1794" max="1794" width="1.140625" style="1299" customWidth="1"/>
    <col min="1795" max="1795" width="1.5703125" style="1299" customWidth="1"/>
    <col min="1796" max="1796" width="2.5703125" style="1299" customWidth="1"/>
    <col min="1797" max="1797" width="3" style="1299" customWidth="1"/>
    <col min="1798" max="1798" width="34.42578125" style="1299" customWidth="1"/>
    <col min="1799" max="1799" width="14.28515625" style="1299" customWidth="1"/>
    <col min="1800" max="1800" width="14.42578125" style="1299" customWidth="1"/>
    <col min="1801" max="1801" width="13.28515625" style="1299" customWidth="1"/>
    <col min="1802" max="1802" width="12.140625" style="1299" customWidth="1"/>
    <col min="1803" max="1803" width="14.140625" style="1299" customWidth="1"/>
    <col min="1804" max="1804" width="10.140625" style="1299" customWidth="1"/>
    <col min="1805" max="1805" width="11.28515625" style="1299" customWidth="1"/>
    <col min="1806" max="1806" width="8.7109375" style="1299" customWidth="1"/>
    <col min="1807" max="1809" width="11.42578125" style="1299" customWidth="1"/>
    <col min="1810" max="1810" width="15" style="1299" customWidth="1"/>
    <col min="1811" max="2048" width="7.85546875" style="1299"/>
    <col min="2049" max="2049" width="2.7109375" style="1299" customWidth="1"/>
    <col min="2050" max="2050" width="1.140625" style="1299" customWidth="1"/>
    <col min="2051" max="2051" width="1.5703125" style="1299" customWidth="1"/>
    <col min="2052" max="2052" width="2.5703125" style="1299" customWidth="1"/>
    <col min="2053" max="2053" width="3" style="1299" customWidth="1"/>
    <col min="2054" max="2054" width="34.42578125" style="1299" customWidth="1"/>
    <col min="2055" max="2055" width="14.28515625" style="1299" customWidth="1"/>
    <col min="2056" max="2056" width="14.42578125" style="1299" customWidth="1"/>
    <col min="2057" max="2057" width="13.28515625" style="1299" customWidth="1"/>
    <col min="2058" max="2058" width="12.140625" style="1299" customWidth="1"/>
    <col min="2059" max="2059" width="14.140625" style="1299" customWidth="1"/>
    <col min="2060" max="2060" width="10.140625" style="1299" customWidth="1"/>
    <col min="2061" max="2061" width="11.28515625" style="1299" customWidth="1"/>
    <col min="2062" max="2062" width="8.7109375" style="1299" customWidth="1"/>
    <col min="2063" max="2065" width="11.42578125" style="1299" customWidth="1"/>
    <col min="2066" max="2066" width="15" style="1299" customWidth="1"/>
    <col min="2067" max="2304" width="7.85546875" style="1299"/>
    <col min="2305" max="2305" width="2.7109375" style="1299" customWidth="1"/>
    <col min="2306" max="2306" width="1.140625" style="1299" customWidth="1"/>
    <col min="2307" max="2307" width="1.5703125" style="1299" customWidth="1"/>
    <col min="2308" max="2308" width="2.5703125" style="1299" customWidth="1"/>
    <col min="2309" max="2309" width="3" style="1299" customWidth="1"/>
    <col min="2310" max="2310" width="34.42578125" style="1299" customWidth="1"/>
    <col min="2311" max="2311" width="14.28515625" style="1299" customWidth="1"/>
    <col min="2312" max="2312" width="14.42578125" style="1299" customWidth="1"/>
    <col min="2313" max="2313" width="13.28515625" style="1299" customWidth="1"/>
    <col min="2314" max="2314" width="12.140625" style="1299" customWidth="1"/>
    <col min="2315" max="2315" width="14.140625" style="1299" customWidth="1"/>
    <col min="2316" max="2316" width="10.140625" style="1299" customWidth="1"/>
    <col min="2317" max="2317" width="11.28515625" style="1299" customWidth="1"/>
    <col min="2318" max="2318" width="8.7109375" style="1299" customWidth="1"/>
    <col min="2319" max="2321" width="11.42578125" style="1299" customWidth="1"/>
    <col min="2322" max="2322" width="15" style="1299" customWidth="1"/>
    <col min="2323" max="2560" width="7.85546875" style="1299"/>
    <col min="2561" max="2561" width="2.7109375" style="1299" customWidth="1"/>
    <col min="2562" max="2562" width="1.140625" style="1299" customWidth="1"/>
    <col min="2563" max="2563" width="1.5703125" style="1299" customWidth="1"/>
    <col min="2564" max="2564" width="2.5703125" style="1299" customWidth="1"/>
    <col min="2565" max="2565" width="3" style="1299" customWidth="1"/>
    <col min="2566" max="2566" width="34.42578125" style="1299" customWidth="1"/>
    <col min="2567" max="2567" width="14.28515625" style="1299" customWidth="1"/>
    <col min="2568" max="2568" width="14.42578125" style="1299" customWidth="1"/>
    <col min="2569" max="2569" width="13.28515625" style="1299" customWidth="1"/>
    <col min="2570" max="2570" width="12.140625" style="1299" customWidth="1"/>
    <col min="2571" max="2571" width="14.140625" style="1299" customWidth="1"/>
    <col min="2572" max="2572" width="10.140625" style="1299" customWidth="1"/>
    <col min="2573" max="2573" width="11.28515625" style="1299" customWidth="1"/>
    <col min="2574" max="2574" width="8.7109375" style="1299" customWidth="1"/>
    <col min="2575" max="2577" width="11.42578125" style="1299" customWidth="1"/>
    <col min="2578" max="2578" width="15" style="1299" customWidth="1"/>
    <col min="2579" max="2816" width="7.85546875" style="1299"/>
    <col min="2817" max="2817" width="2.7109375" style="1299" customWidth="1"/>
    <col min="2818" max="2818" width="1.140625" style="1299" customWidth="1"/>
    <col min="2819" max="2819" width="1.5703125" style="1299" customWidth="1"/>
    <col min="2820" max="2820" width="2.5703125" style="1299" customWidth="1"/>
    <col min="2821" max="2821" width="3" style="1299" customWidth="1"/>
    <col min="2822" max="2822" width="34.42578125" style="1299" customWidth="1"/>
    <col min="2823" max="2823" width="14.28515625" style="1299" customWidth="1"/>
    <col min="2824" max="2824" width="14.42578125" style="1299" customWidth="1"/>
    <col min="2825" max="2825" width="13.28515625" style="1299" customWidth="1"/>
    <col min="2826" max="2826" width="12.140625" style="1299" customWidth="1"/>
    <col min="2827" max="2827" width="14.140625" style="1299" customWidth="1"/>
    <col min="2828" max="2828" width="10.140625" style="1299" customWidth="1"/>
    <col min="2829" max="2829" width="11.28515625" style="1299" customWidth="1"/>
    <col min="2830" max="2830" width="8.7109375" style="1299" customWidth="1"/>
    <col min="2831" max="2833" width="11.42578125" style="1299" customWidth="1"/>
    <col min="2834" max="2834" width="15" style="1299" customWidth="1"/>
    <col min="2835" max="3072" width="7.85546875" style="1299"/>
    <col min="3073" max="3073" width="2.7109375" style="1299" customWidth="1"/>
    <col min="3074" max="3074" width="1.140625" style="1299" customWidth="1"/>
    <col min="3075" max="3075" width="1.5703125" style="1299" customWidth="1"/>
    <col min="3076" max="3076" width="2.5703125" style="1299" customWidth="1"/>
    <col min="3077" max="3077" width="3" style="1299" customWidth="1"/>
    <col min="3078" max="3078" width="34.42578125" style="1299" customWidth="1"/>
    <col min="3079" max="3079" width="14.28515625" style="1299" customWidth="1"/>
    <col min="3080" max="3080" width="14.42578125" style="1299" customWidth="1"/>
    <col min="3081" max="3081" width="13.28515625" style="1299" customWidth="1"/>
    <col min="3082" max="3082" width="12.140625" style="1299" customWidth="1"/>
    <col min="3083" max="3083" width="14.140625" style="1299" customWidth="1"/>
    <col min="3084" max="3084" width="10.140625" style="1299" customWidth="1"/>
    <col min="3085" max="3085" width="11.28515625" style="1299" customWidth="1"/>
    <col min="3086" max="3086" width="8.7109375" style="1299" customWidth="1"/>
    <col min="3087" max="3089" width="11.42578125" style="1299" customWidth="1"/>
    <col min="3090" max="3090" width="15" style="1299" customWidth="1"/>
    <col min="3091" max="3328" width="7.85546875" style="1299"/>
    <col min="3329" max="3329" width="2.7109375" style="1299" customWidth="1"/>
    <col min="3330" max="3330" width="1.140625" style="1299" customWidth="1"/>
    <col min="3331" max="3331" width="1.5703125" style="1299" customWidth="1"/>
    <col min="3332" max="3332" width="2.5703125" style="1299" customWidth="1"/>
    <col min="3333" max="3333" width="3" style="1299" customWidth="1"/>
    <col min="3334" max="3334" width="34.42578125" style="1299" customWidth="1"/>
    <col min="3335" max="3335" width="14.28515625" style="1299" customWidth="1"/>
    <col min="3336" max="3336" width="14.42578125" style="1299" customWidth="1"/>
    <col min="3337" max="3337" width="13.28515625" style="1299" customWidth="1"/>
    <col min="3338" max="3338" width="12.140625" style="1299" customWidth="1"/>
    <col min="3339" max="3339" width="14.140625" style="1299" customWidth="1"/>
    <col min="3340" max="3340" width="10.140625" style="1299" customWidth="1"/>
    <col min="3341" max="3341" width="11.28515625" style="1299" customWidth="1"/>
    <col min="3342" max="3342" width="8.7109375" style="1299" customWidth="1"/>
    <col min="3343" max="3345" width="11.42578125" style="1299" customWidth="1"/>
    <col min="3346" max="3346" width="15" style="1299" customWidth="1"/>
    <col min="3347" max="3584" width="7.85546875" style="1299"/>
    <col min="3585" max="3585" width="2.7109375" style="1299" customWidth="1"/>
    <col min="3586" max="3586" width="1.140625" style="1299" customWidth="1"/>
    <col min="3587" max="3587" width="1.5703125" style="1299" customWidth="1"/>
    <col min="3588" max="3588" width="2.5703125" style="1299" customWidth="1"/>
    <col min="3589" max="3589" width="3" style="1299" customWidth="1"/>
    <col min="3590" max="3590" width="34.42578125" style="1299" customWidth="1"/>
    <col min="3591" max="3591" width="14.28515625" style="1299" customWidth="1"/>
    <col min="3592" max="3592" width="14.42578125" style="1299" customWidth="1"/>
    <col min="3593" max="3593" width="13.28515625" style="1299" customWidth="1"/>
    <col min="3594" max="3594" width="12.140625" style="1299" customWidth="1"/>
    <col min="3595" max="3595" width="14.140625" style="1299" customWidth="1"/>
    <col min="3596" max="3596" width="10.140625" style="1299" customWidth="1"/>
    <col min="3597" max="3597" width="11.28515625" style="1299" customWidth="1"/>
    <col min="3598" max="3598" width="8.7109375" style="1299" customWidth="1"/>
    <col min="3599" max="3601" width="11.42578125" style="1299" customWidth="1"/>
    <col min="3602" max="3602" width="15" style="1299" customWidth="1"/>
    <col min="3603" max="3840" width="7.85546875" style="1299"/>
    <col min="3841" max="3841" width="2.7109375" style="1299" customWidth="1"/>
    <col min="3842" max="3842" width="1.140625" style="1299" customWidth="1"/>
    <col min="3843" max="3843" width="1.5703125" style="1299" customWidth="1"/>
    <col min="3844" max="3844" width="2.5703125" style="1299" customWidth="1"/>
    <col min="3845" max="3845" width="3" style="1299" customWidth="1"/>
    <col min="3846" max="3846" width="34.42578125" style="1299" customWidth="1"/>
    <col min="3847" max="3847" width="14.28515625" style="1299" customWidth="1"/>
    <col min="3848" max="3848" width="14.42578125" style="1299" customWidth="1"/>
    <col min="3849" max="3849" width="13.28515625" style="1299" customWidth="1"/>
    <col min="3850" max="3850" width="12.140625" style="1299" customWidth="1"/>
    <col min="3851" max="3851" width="14.140625" style="1299" customWidth="1"/>
    <col min="3852" max="3852" width="10.140625" style="1299" customWidth="1"/>
    <col min="3853" max="3853" width="11.28515625" style="1299" customWidth="1"/>
    <col min="3854" max="3854" width="8.7109375" style="1299" customWidth="1"/>
    <col min="3855" max="3857" width="11.42578125" style="1299" customWidth="1"/>
    <col min="3858" max="3858" width="15" style="1299" customWidth="1"/>
    <col min="3859" max="4096" width="7.85546875" style="1299"/>
    <col min="4097" max="4097" width="2.7109375" style="1299" customWidth="1"/>
    <col min="4098" max="4098" width="1.140625" style="1299" customWidth="1"/>
    <col min="4099" max="4099" width="1.5703125" style="1299" customWidth="1"/>
    <col min="4100" max="4100" width="2.5703125" style="1299" customWidth="1"/>
    <col min="4101" max="4101" width="3" style="1299" customWidth="1"/>
    <col min="4102" max="4102" width="34.42578125" style="1299" customWidth="1"/>
    <col min="4103" max="4103" width="14.28515625" style="1299" customWidth="1"/>
    <col min="4104" max="4104" width="14.42578125" style="1299" customWidth="1"/>
    <col min="4105" max="4105" width="13.28515625" style="1299" customWidth="1"/>
    <col min="4106" max="4106" width="12.140625" style="1299" customWidth="1"/>
    <col min="4107" max="4107" width="14.140625" style="1299" customWidth="1"/>
    <col min="4108" max="4108" width="10.140625" style="1299" customWidth="1"/>
    <col min="4109" max="4109" width="11.28515625" style="1299" customWidth="1"/>
    <col min="4110" max="4110" width="8.7109375" style="1299" customWidth="1"/>
    <col min="4111" max="4113" width="11.42578125" style="1299" customWidth="1"/>
    <col min="4114" max="4114" width="15" style="1299" customWidth="1"/>
    <col min="4115" max="4352" width="7.85546875" style="1299"/>
    <col min="4353" max="4353" width="2.7109375" style="1299" customWidth="1"/>
    <col min="4354" max="4354" width="1.140625" style="1299" customWidth="1"/>
    <col min="4355" max="4355" width="1.5703125" style="1299" customWidth="1"/>
    <col min="4356" max="4356" width="2.5703125" style="1299" customWidth="1"/>
    <col min="4357" max="4357" width="3" style="1299" customWidth="1"/>
    <col min="4358" max="4358" width="34.42578125" style="1299" customWidth="1"/>
    <col min="4359" max="4359" width="14.28515625" style="1299" customWidth="1"/>
    <col min="4360" max="4360" width="14.42578125" style="1299" customWidth="1"/>
    <col min="4361" max="4361" width="13.28515625" style="1299" customWidth="1"/>
    <col min="4362" max="4362" width="12.140625" style="1299" customWidth="1"/>
    <col min="4363" max="4363" width="14.140625" style="1299" customWidth="1"/>
    <col min="4364" max="4364" width="10.140625" style="1299" customWidth="1"/>
    <col min="4365" max="4365" width="11.28515625" style="1299" customWidth="1"/>
    <col min="4366" max="4366" width="8.7109375" style="1299" customWidth="1"/>
    <col min="4367" max="4369" width="11.42578125" style="1299" customWidth="1"/>
    <col min="4370" max="4370" width="15" style="1299" customWidth="1"/>
    <col min="4371" max="4608" width="7.85546875" style="1299"/>
    <col min="4609" max="4609" width="2.7109375" style="1299" customWidth="1"/>
    <col min="4610" max="4610" width="1.140625" style="1299" customWidth="1"/>
    <col min="4611" max="4611" width="1.5703125" style="1299" customWidth="1"/>
    <col min="4612" max="4612" width="2.5703125" style="1299" customWidth="1"/>
    <col min="4613" max="4613" width="3" style="1299" customWidth="1"/>
    <col min="4614" max="4614" width="34.42578125" style="1299" customWidth="1"/>
    <col min="4615" max="4615" width="14.28515625" style="1299" customWidth="1"/>
    <col min="4616" max="4616" width="14.42578125" style="1299" customWidth="1"/>
    <col min="4617" max="4617" width="13.28515625" style="1299" customWidth="1"/>
    <col min="4618" max="4618" width="12.140625" style="1299" customWidth="1"/>
    <col min="4619" max="4619" width="14.140625" style="1299" customWidth="1"/>
    <col min="4620" max="4620" width="10.140625" style="1299" customWidth="1"/>
    <col min="4621" max="4621" width="11.28515625" style="1299" customWidth="1"/>
    <col min="4622" max="4622" width="8.7109375" style="1299" customWidth="1"/>
    <col min="4623" max="4625" width="11.42578125" style="1299" customWidth="1"/>
    <col min="4626" max="4626" width="15" style="1299" customWidth="1"/>
    <col min="4627" max="4864" width="7.85546875" style="1299"/>
    <col min="4865" max="4865" width="2.7109375" style="1299" customWidth="1"/>
    <col min="4866" max="4866" width="1.140625" style="1299" customWidth="1"/>
    <col min="4867" max="4867" width="1.5703125" style="1299" customWidth="1"/>
    <col min="4868" max="4868" width="2.5703125" style="1299" customWidth="1"/>
    <col min="4869" max="4869" width="3" style="1299" customWidth="1"/>
    <col min="4870" max="4870" width="34.42578125" style="1299" customWidth="1"/>
    <col min="4871" max="4871" width="14.28515625" style="1299" customWidth="1"/>
    <col min="4872" max="4872" width="14.42578125" style="1299" customWidth="1"/>
    <col min="4873" max="4873" width="13.28515625" style="1299" customWidth="1"/>
    <col min="4874" max="4874" width="12.140625" style="1299" customWidth="1"/>
    <col min="4875" max="4875" width="14.140625" style="1299" customWidth="1"/>
    <col min="4876" max="4876" width="10.140625" style="1299" customWidth="1"/>
    <col min="4877" max="4877" width="11.28515625" style="1299" customWidth="1"/>
    <col min="4878" max="4878" width="8.7109375" style="1299" customWidth="1"/>
    <col min="4879" max="4881" width="11.42578125" style="1299" customWidth="1"/>
    <col min="4882" max="4882" width="15" style="1299" customWidth="1"/>
    <col min="4883" max="5120" width="7.85546875" style="1299"/>
    <col min="5121" max="5121" width="2.7109375" style="1299" customWidth="1"/>
    <col min="5122" max="5122" width="1.140625" style="1299" customWidth="1"/>
    <col min="5123" max="5123" width="1.5703125" style="1299" customWidth="1"/>
    <col min="5124" max="5124" width="2.5703125" style="1299" customWidth="1"/>
    <col min="5125" max="5125" width="3" style="1299" customWidth="1"/>
    <col min="5126" max="5126" width="34.42578125" style="1299" customWidth="1"/>
    <col min="5127" max="5127" width="14.28515625" style="1299" customWidth="1"/>
    <col min="5128" max="5128" width="14.42578125" style="1299" customWidth="1"/>
    <col min="5129" max="5129" width="13.28515625" style="1299" customWidth="1"/>
    <col min="5130" max="5130" width="12.140625" style="1299" customWidth="1"/>
    <col min="5131" max="5131" width="14.140625" style="1299" customWidth="1"/>
    <col min="5132" max="5132" width="10.140625" style="1299" customWidth="1"/>
    <col min="5133" max="5133" width="11.28515625" style="1299" customWidth="1"/>
    <col min="5134" max="5134" width="8.7109375" style="1299" customWidth="1"/>
    <col min="5135" max="5137" width="11.42578125" style="1299" customWidth="1"/>
    <col min="5138" max="5138" width="15" style="1299" customWidth="1"/>
    <col min="5139" max="5376" width="7.85546875" style="1299"/>
    <col min="5377" max="5377" width="2.7109375" style="1299" customWidth="1"/>
    <col min="5378" max="5378" width="1.140625" style="1299" customWidth="1"/>
    <col min="5379" max="5379" width="1.5703125" style="1299" customWidth="1"/>
    <col min="5380" max="5380" width="2.5703125" style="1299" customWidth="1"/>
    <col min="5381" max="5381" width="3" style="1299" customWidth="1"/>
    <col min="5382" max="5382" width="34.42578125" style="1299" customWidth="1"/>
    <col min="5383" max="5383" width="14.28515625" style="1299" customWidth="1"/>
    <col min="5384" max="5384" width="14.42578125" style="1299" customWidth="1"/>
    <col min="5385" max="5385" width="13.28515625" style="1299" customWidth="1"/>
    <col min="5386" max="5386" width="12.140625" style="1299" customWidth="1"/>
    <col min="5387" max="5387" width="14.140625" style="1299" customWidth="1"/>
    <col min="5388" max="5388" width="10.140625" style="1299" customWidth="1"/>
    <col min="5389" max="5389" width="11.28515625" style="1299" customWidth="1"/>
    <col min="5390" max="5390" width="8.7109375" style="1299" customWidth="1"/>
    <col min="5391" max="5393" width="11.42578125" style="1299" customWidth="1"/>
    <col min="5394" max="5394" width="15" style="1299" customWidth="1"/>
    <col min="5395" max="5632" width="7.85546875" style="1299"/>
    <col min="5633" max="5633" width="2.7109375" style="1299" customWidth="1"/>
    <col min="5634" max="5634" width="1.140625" style="1299" customWidth="1"/>
    <col min="5635" max="5635" width="1.5703125" style="1299" customWidth="1"/>
    <col min="5636" max="5636" width="2.5703125" style="1299" customWidth="1"/>
    <col min="5637" max="5637" width="3" style="1299" customWidth="1"/>
    <col min="5638" max="5638" width="34.42578125" style="1299" customWidth="1"/>
    <col min="5639" max="5639" width="14.28515625" style="1299" customWidth="1"/>
    <col min="5640" max="5640" width="14.42578125" style="1299" customWidth="1"/>
    <col min="5641" max="5641" width="13.28515625" style="1299" customWidth="1"/>
    <col min="5642" max="5642" width="12.140625" style="1299" customWidth="1"/>
    <col min="5643" max="5643" width="14.140625" style="1299" customWidth="1"/>
    <col min="5644" max="5644" width="10.140625" style="1299" customWidth="1"/>
    <col min="5645" max="5645" width="11.28515625" style="1299" customWidth="1"/>
    <col min="5646" max="5646" width="8.7109375" style="1299" customWidth="1"/>
    <col min="5647" max="5649" width="11.42578125" style="1299" customWidth="1"/>
    <col min="5650" max="5650" width="15" style="1299" customWidth="1"/>
    <col min="5651" max="5888" width="7.85546875" style="1299"/>
    <col min="5889" max="5889" width="2.7109375" style="1299" customWidth="1"/>
    <col min="5890" max="5890" width="1.140625" style="1299" customWidth="1"/>
    <col min="5891" max="5891" width="1.5703125" style="1299" customWidth="1"/>
    <col min="5892" max="5892" width="2.5703125" style="1299" customWidth="1"/>
    <col min="5893" max="5893" width="3" style="1299" customWidth="1"/>
    <col min="5894" max="5894" width="34.42578125" style="1299" customWidth="1"/>
    <col min="5895" max="5895" width="14.28515625" style="1299" customWidth="1"/>
    <col min="5896" max="5896" width="14.42578125" style="1299" customWidth="1"/>
    <col min="5897" max="5897" width="13.28515625" style="1299" customWidth="1"/>
    <col min="5898" max="5898" width="12.140625" style="1299" customWidth="1"/>
    <col min="5899" max="5899" width="14.140625" style="1299" customWidth="1"/>
    <col min="5900" max="5900" width="10.140625" style="1299" customWidth="1"/>
    <col min="5901" max="5901" width="11.28515625" style="1299" customWidth="1"/>
    <col min="5902" max="5902" width="8.7109375" style="1299" customWidth="1"/>
    <col min="5903" max="5905" width="11.42578125" style="1299" customWidth="1"/>
    <col min="5906" max="5906" width="15" style="1299" customWidth="1"/>
    <col min="5907" max="6144" width="7.85546875" style="1299"/>
    <col min="6145" max="6145" width="2.7109375" style="1299" customWidth="1"/>
    <col min="6146" max="6146" width="1.140625" style="1299" customWidth="1"/>
    <col min="6147" max="6147" width="1.5703125" style="1299" customWidth="1"/>
    <col min="6148" max="6148" width="2.5703125" style="1299" customWidth="1"/>
    <col min="6149" max="6149" width="3" style="1299" customWidth="1"/>
    <col min="6150" max="6150" width="34.42578125" style="1299" customWidth="1"/>
    <col min="6151" max="6151" width="14.28515625" style="1299" customWidth="1"/>
    <col min="6152" max="6152" width="14.42578125" style="1299" customWidth="1"/>
    <col min="6153" max="6153" width="13.28515625" style="1299" customWidth="1"/>
    <col min="6154" max="6154" width="12.140625" style="1299" customWidth="1"/>
    <col min="6155" max="6155" width="14.140625" style="1299" customWidth="1"/>
    <col min="6156" max="6156" width="10.140625" style="1299" customWidth="1"/>
    <col min="6157" max="6157" width="11.28515625" style="1299" customWidth="1"/>
    <col min="6158" max="6158" width="8.7109375" style="1299" customWidth="1"/>
    <col min="6159" max="6161" width="11.42578125" style="1299" customWidth="1"/>
    <col min="6162" max="6162" width="15" style="1299" customWidth="1"/>
    <col min="6163" max="6400" width="7.85546875" style="1299"/>
    <col min="6401" max="6401" width="2.7109375" style="1299" customWidth="1"/>
    <col min="6402" max="6402" width="1.140625" style="1299" customWidth="1"/>
    <col min="6403" max="6403" width="1.5703125" style="1299" customWidth="1"/>
    <col min="6404" max="6404" width="2.5703125" style="1299" customWidth="1"/>
    <col min="6405" max="6405" width="3" style="1299" customWidth="1"/>
    <col min="6406" max="6406" width="34.42578125" style="1299" customWidth="1"/>
    <col min="6407" max="6407" width="14.28515625" style="1299" customWidth="1"/>
    <col min="6408" max="6408" width="14.42578125" style="1299" customWidth="1"/>
    <col min="6409" max="6409" width="13.28515625" style="1299" customWidth="1"/>
    <col min="6410" max="6410" width="12.140625" style="1299" customWidth="1"/>
    <col min="6411" max="6411" width="14.140625" style="1299" customWidth="1"/>
    <col min="6412" max="6412" width="10.140625" style="1299" customWidth="1"/>
    <col min="6413" max="6413" width="11.28515625" style="1299" customWidth="1"/>
    <col min="6414" max="6414" width="8.7109375" style="1299" customWidth="1"/>
    <col min="6415" max="6417" width="11.42578125" style="1299" customWidth="1"/>
    <col min="6418" max="6418" width="15" style="1299" customWidth="1"/>
    <col min="6419" max="6656" width="7.85546875" style="1299"/>
    <col min="6657" max="6657" width="2.7109375" style="1299" customWidth="1"/>
    <col min="6658" max="6658" width="1.140625" style="1299" customWidth="1"/>
    <col min="6659" max="6659" width="1.5703125" style="1299" customWidth="1"/>
    <col min="6660" max="6660" width="2.5703125" style="1299" customWidth="1"/>
    <col min="6661" max="6661" width="3" style="1299" customWidth="1"/>
    <col min="6662" max="6662" width="34.42578125" style="1299" customWidth="1"/>
    <col min="6663" max="6663" width="14.28515625" style="1299" customWidth="1"/>
    <col min="6664" max="6664" width="14.42578125" style="1299" customWidth="1"/>
    <col min="6665" max="6665" width="13.28515625" style="1299" customWidth="1"/>
    <col min="6666" max="6666" width="12.140625" style="1299" customWidth="1"/>
    <col min="6667" max="6667" width="14.140625" style="1299" customWidth="1"/>
    <col min="6668" max="6668" width="10.140625" style="1299" customWidth="1"/>
    <col min="6669" max="6669" width="11.28515625" style="1299" customWidth="1"/>
    <col min="6670" max="6670" width="8.7109375" style="1299" customWidth="1"/>
    <col min="6671" max="6673" width="11.42578125" style="1299" customWidth="1"/>
    <col min="6674" max="6674" width="15" style="1299" customWidth="1"/>
    <col min="6675" max="6912" width="7.85546875" style="1299"/>
    <col min="6913" max="6913" width="2.7109375" style="1299" customWidth="1"/>
    <col min="6914" max="6914" width="1.140625" style="1299" customWidth="1"/>
    <col min="6915" max="6915" width="1.5703125" style="1299" customWidth="1"/>
    <col min="6916" max="6916" width="2.5703125" style="1299" customWidth="1"/>
    <col min="6917" max="6917" width="3" style="1299" customWidth="1"/>
    <col min="6918" max="6918" width="34.42578125" style="1299" customWidth="1"/>
    <col min="6919" max="6919" width="14.28515625" style="1299" customWidth="1"/>
    <col min="6920" max="6920" width="14.42578125" style="1299" customWidth="1"/>
    <col min="6921" max="6921" width="13.28515625" style="1299" customWidth="1"/>
    <col min="6922" max="6922" width="12.140625" style="1299" customWidth="1"/>
    <col min="6923" max="6923" width="14.140625" style="1299" customWidth="1"/>
    <col min="6924" max="6924" width="10.140625" style="1299" customWidth="1"/>
    <col min="6925" max="6925" width="11.28515625" style="1299" customWidth="1"/>
    <col min="6926" max="6926" width="8.7109375" style="1299" customWidth="1"/>
    <col min="6927" max="6929" width="11.42578125" style="1299" customWidth="1"/>
    <col min="6930" max="6930" width="15" style="1299" customWidth="1"/>
    <col min="6931" max="7168" width="7.85546875" style="1299"/>
    <col min="7169" max="7169" width="2.7109375" style="1299" customWidth="1"/>
    <col min="7170" max="7170" width="1.140625" style="1299" customWidth="1"/>
    <col min="7171" max="7171" width="1.5703125" style="1299" customWidth="1"/>
    <col min="7172" max="7172" width="2.5703125" style="1299" customWidth="1"/>
    <col min="7173" max="7173" width="3" style="1299" customWidth="1"/>
    <col min="7174" max="7174" width="34.42578125" style="1299" customWidth="1"/>
    <col min="7175" max="7175" width="14.28515625" style="1299" customWidth="1"/>
    <col min="7176" max="7176" width="14.42578125" style="1299" customWidth="1"/>
    <col min="7177" max="7177" width="13.28515625" style="1299" customWidth="1"/>
    <col min="7178" max="7178" width="12.140625" style="1299" customWidth="1"/>
    <col min="7179" max="7179" width="14.140625" style="1299" customWidth="1"/>
    <col min="7180" max="7180" width="10.140625" style="1299" customWidth="1"/>
    <col min="7181" max="7181" width="11.28515625" style="1299" customWidth="1"/>
    <col min="7182" max="7182" width="8.7109375" style="1299" customWidth="1"/>
    <col min="7183" max="7185" width="11.42578125" style="1299" customWidth="1"/>
    <col min="7186" max="7186" width="15" style="1299" customWidth="1"/>
    <col min="7187" max="7424" width="7.85546875" style="1299"/>
    <col min="7425" max="7425" width="2.7109375" style="1299" customWidth="1"/>
    <col min="7426" max="7426" width="1.140625" style="1299" customWidth="1"/>
    <col min="7427" max="7427" width="1.5703125" style="1299" customWidth="1"/>
    <col min="7428" max="7428" width="2.5703125" style="1299" customWidth="1"/>
    <col min="7429" max="7429" width="3" style="1299" customWidth="1"/>
    <col min="7430" max="7430" width="34.42578125" style="1299" customWidth="1"/>
    <col min="7431" max="7431" width="14.28515625" style="1299" customWidth="1"/>
    <col min="7432" max="7432" width="14.42578125" style="1299" customWidth="1"/>
    <col min="7433" max="7433" width="13.28515625" style="1299" customWidth="1"/>
    <col min="7434" max="7434" width="12.140625" style="1299" customWidth="1"/>
    <col min="7435" max="7435" width="14.140625" style="1299" customWidth="1"/>
    <col min="7436" max="7436" width="10.140625" style="1299" customWidth="1"/>
    <col min="7437" max="7437" width="11.28515625" style="1299" customWidth="1"/>
    <col min="7438" max="7438" width="8.7109375" style="1299" customWidth="1"/>
    <col min="7439" max="7441" width="11.42578125" style="1299" customWidth="1"/>
    <col min="7442" max="7442" width="15" style="1299" customWidth="1"/>
    <col min="7443" max="7680" width="7.85546875" style="1299"/>
    <col min="7681" max="7681" width="2.7109375" style="1299" customWidth="1"/>
    <col min="7682" max="7682" width="1.140625" style="1299" customWidth="1"/>
    <col min="7683" max="7683" width="1.5703125" style="1299" customWidth="1"/>
    <col min="7684" max="7684" width="2.5703125" style="1299" customWidth="1"/>
    <col min="7685" max="7685" width="3" style="1299" customWidth="1"/>
    <col min="7686" max="7686" width="34.42578125" style="1299" customWidth="1"/>
    <col min="7687" max="7687" width="14.28515625" style="1299" customWidth="1"/>
    <col min="7688" max="7688" width="14.42578125" style="1299" customWidth="1"/>
    <col min="7689" max="7689" width="13.28515625" style="1299" customWidth="1"/>
    <col min="7690" max="7690" width="12.140625" style="1299" customWidth="1"/>
    <col min="7691" max="7691" width="14.140625" style="1299" customWidth="1"/>
    <col min="7692" max="7692" width="10.140625" style="1299" customWidth="1"/>
    <col min="7693" max="7693" width="11.28515625" style="1299" customWidth="1"/>
    <col min="7694" max="7694" width="8.7109375" style="1299" customWidth="1"/>
    <col min="7695" max="7697" width="11.42578125" style="1299" customWidth="1"/>
    <col min="7698" max="7698" width="15" style="1299" customWidth="1"/>
    <col min="7699" max="7936" width="7.85546875" style="1299"/>
    <col min="7937" max="7937" width="2.7109375" style="1299" customWidth="1"/>
    <col min="7938" max="7938" width="1.140625" style="1299" customWidth="1"/>
    <col min="7939" max="7939" width="1.5703125" style="1299" customWidth="1"/>
    <col min="7940" max="7940" width="2.5703125" style="1299" customWidth="1"/>
    <col min="7941" max="7941" width="3" style="1299" customWidth="1"/>
    <col min="7942" max="7942" width="34.42578125" style="1299" customWidth="1"/>
    <col min="7943" max="7943" width="14.28515625" style="1299" customWidth="1"/>
    <col min="7944" max="7944" width="14.42578125" style="1299" customWidth="1"/>
    <col min="7945" max="7945" width="13.28515625" style="1299" customWidth="1"/>
    <col min="7946" max="7946" width="12.140625" style="1299" customWidth="1"/>
    <col min="7947" max="7947" width="14.140625" style="1299" customWidth="1"/>
    <col min="7948" max="7948" width="10.140625" style="1299" customWidth="1"/>
    <col min="7949" max="7949" width="11.28515625" style="1299" customWidth="1"/>
    <col min="7950" max="7950" width="8.7109375" style="1299" customWidth="1"/>
    <col min="7951" max="7953" width="11.42578125" style="1299" customWidth="1"/>
    <col min="7954" max="7954" width="15" style="1299" customWidth="1"/>
    <col min="7955" max="8192" width="7.85546875" style="1299"/>
    <col min="8193" max="8193" width="2.7109375" style="1299" customWidth="1"/>
    <col min="8194" max="8194" width="1.140625" style="1299" customWidth="1"/>
    <col min="8195" max="8195" width="1.5703125" style="1299" customWidth="1"/>
    <col min="8196" max="8196" width="2.5703125" style="1299" customWidth="1"/>
    <col min="8197" max="8197" width="3" style="1299" customWidth="1"/>
    <col min="8198" max="8198" width="34.42578125" style="1299" customWidth="1"/>
    <col min="8199" max="8199" width="14.28515625" style="1299" customWidth="1"/>
    <col min="8200" max="8200" width="14.42578125" style="1299" customWidth="1"/>
    <col min="8201" max="8201" width="13.28515625" style="1299" customWidth="1"/>
    <col min="8202" max="8202" width="12.140625" style="1299" customWidth="1"/>
    <col min="8203" max="8203" width="14.140625" style="1299" customWidth="1"/>
    <col min="8204" max="8204" width="10.140625" style="1299" customWidth="1"/>
    <col min="8205" max="8205" width="11.28515625" style="1299" customWidth="1"/>
    <col min="8206" max="8206" width="8.7109375" style="1299" customWidth="1"/>
    <col min="8207" max="8209" width="11.42578125" style="1299" customWidth="1"/>
    <col min="8210" max="8210" width="15" style="1299" customWidth="1"/>
    <col min="8211" max="8448" width="7.85546875" style="1299"/>
    <col min="8449" max="8449" width="2.7109375" style="1299" customWidth="1"/>
    <col min="8450" max="8450" width="1.140625" style="1299" customWidth="1"/>
    <col min="8451" max="8451" width="1.5703125" style="1299" customWidth="1"/>
    <col min="8452" max="8452" width="2.5703125" style="1299" customWidth="1"/>
    <col min="8453" max="8453" width="3" style="1299" customWidth="1"/>
    <col min="8454" max="8454" width="34.42578125" style="1299" customWidth="1"/>
    <col min="8455" max="8455" width="14.28515625" style="1299" customWidth="1"/>
    <col min="8456" max="8456" width="14.42578125" style="1299" customWidth="1"/>
    <col min="8457" max="8457" width="13.28515625" style="1299" customWidth="1"/>
    <col min="8458" max="8458" width="12.140625" style="1299" customWidth="1"/>
    <col min="8459" max="8459" width="14.140625" style="1299" customWidth="1"/>
    <col min="8460" max="8460" width="10.140625" style="1299" customWidth="1"/>
    <col min="8461" max="8461" width="11.28515625" style="1299" customWidth="1"/>
    <col min="8462" max="8462" width="8.7109375" style="1299" customWidth="1"/>
    <col min="8463" max="8465" width="11.42578125" style="1299" customWidth="1"/>
    <col min="8466" max="8466" width="15" style="1299" customWidth="1"/>
    <col min="8467" max="8704" width="7.85546875" style="1299"/>
    <col min="8705" max="8705" width="2.7109375" style="1299" customWidth="1"/>
    <col min="8706" max="8706" width="1.140625" style="1299" customWidth="1"/>
    <col min="8707" max="8707" width="1.5703125" style="1299" customWidth="1"/>
    <col min="8708" max="8708" width="2.5703125" style="1299" customWidth="1"/>
    <col min="8709" max="8709" width="3" style="1299" customWidth="1"/>
    <col min="8710" max="8710" width="34.42578125" style="1299" customWidth="1"/>
    <col min="8711" max="8711" width="14.28515625" style="1299" customWidth="1"/>
    <col min="8712" max="8712" width="14.42578125" style="1299" customWidth="1"/>
    <col min="8713" max="8713" width="13.28515625" style="1299" customWidth="1"/>
    <col min="8714" max="8714" width="12.140625" style="1299" customWidth="1"/>
    <col min="8715" max="8715" width="14.140625" style="1299" customWidth="1"/>
    <col min="8716" max="8716" width="10.140625" style="1299" customWidth="1"/>
    <col min="8717" max="8717" width="11.28515625" style="1299" customWidth="1"/>
    <col min="8718" max="8718" width="8.7109375" style="1299" customWidth="1"/>
    <col min="8719" max="8721" width="11.42578125" style="1299" customWidth="1"/>
    <col min="8722" max="8722" width="15" style="1299" customWidth="1"/>
    <col min="8723" max="8960" width="7.85546875" style="1299"/>
    <col min="8961" max="8961" width="2.7109375" style="1299" customWidth="1"/>
    <col min="8962" max="8962" width="1.140625" style="1299" customWidth="1"/>
    <col min="8963" max="8963" width="1.5703125" style="1299" customWidth="1"/>
    <col min="8964" max="8964" width="2.5703125" style="1299" customWidth="1"/>
    <col min="8965" max="8965" width="3" style="1299" customWidth="1"/>
    <col min="8966" max="8966" width="34.42578125" style="1299" customWidth="1"/>
    <col min="8967" max="8967" width="14.28515625" style="1299" customWidth="1"/>
    <col min="8968" max="8968" width="14.42578125" style="1299" customWidth="1"/>
    <col min="8969" max="8969" width="13.28515625" style="1299" customWidth="1"/>
    <col min="8970" max="8970" width="12.140625" style="1299" customWidth="1"/>
    <col min="8971" max="8971" width="14.140625" style="1299" customWidth="1"/>
    <col min="8972" max="8972" width="10.140625" style="1299" customWidth="1"/>
    <col min="8973" max="8973" width="11.28515625" style="1299" customWidth="1"/>
    <col min="8974" max="8974" width="8.7109375" style="1299" customWidth="1"/>
    <col min="8975" max="8977" width="11.42578125" style="1299" customWidth="1"/>
    <col min="8978" max="8978" width="15" style="1299" customWidth="1"/>
    <col min="8979" max="9216" width="7.85546875" style="1299"/>
    <col min="9217" max="9217" width="2.7109375" style="1299" customWidth="1"/>
    <col min="9218" max="9218" width="1.140625" style="1299" customWidth="1"/>
    <col min="9219" max="9219" width="1.5703125" style="1299" customWidth="1"/>
    <col min="9220" max="9220" width="2.5703125" style="1299" customWidth="1"/>
    <col min="9221" max="9221" width="3" style="1299" customWidth="1"/>
    <col min="9222" max="9222" width="34.42578125" style="1299" customWidth="1"/>
    <col min="9223" max="9223" width="14.28515625" style="1299" customWidth="1"/>
    <col min="9224" max="9224" width="14.42578125" style="1299" customWidth="1"/>
    <col min="9225" max="9225" width="13.28515625" style="1299" customWidth="1"/>
    <col min="9226" max="9226" width="12.140625" style="1299" customWidth="1"/>
    <col min="9227" max="9227" width="14.140625" style="1299" customWidth="1"/>
    <col min="9228" max="9228" width="10.140625" style="1299" customWidth="1"/>
    <col min="9229" max="9229" width="11.28515625" style="1299" customWidth="1"/>
    <col min="9230" max="9230" width="8.7109375" style="1299" customWidth="1"/>
    <col min="9231" max="9233" width="11.42578125" style="1299" customWidth="1"/>
    <col min="9234" max="9234" width="15" style="1299" customWidth="1"/>
    <col min="9235" max="9472" width="7.85546875" style="1299"/>
    <col min="9473" max="9473" width="2.7109375" style="1299" customWidth="1"/>
    <col min="9474" max="9474" width="1.140625" style="1299" customWidth="1"/>
    <col min="9475" max="9475" width="1.5703125" style="1299" customWidth="1"/>
    <col min="9476" max="9476" width="2.5703125" style="1299" customWidth="1"/>
    <col min="9477" max="9477" width="3" style="1299" customWidth="1"/>
    <col min="9478" max="9478" width="34.42578125" style="1299" customWidth="1"/>
    <col min="9479" max="9479" width="14.28515625" style="1299" customWidth="1"/>
    <col min="9480" max="9480" width="14.42578125" style="1299" customWidth="1"/>
    <col min="9481" max="9481" width="13.28515625" style="1299" customWidth="1"/>
    <col min="9482" max="9482" width="12.140625" style="1299" customWidth="1"/>
    <col min="9483" max="9483" width="14.140625" style="1299" customWidth="1"/>
    <col min="9484" max="9484" width="10.140625" style="1299" customWidth="1"/>
    <col min="9485" max="9485" width="11.28515625" style="1299" customWidth="1"/>
    <col min="9486" max="9486" width="8.7109375" style="1299" customWidth="1"/>
    <col min="9487" max="9489" width="11.42578125" style="1299" customWidth="1"/>
    <col min="9490" max="9490" width="15" style="1299" customWidth="1"/>
    <col min="9491" max="9728" width="7.85546875" style="1299"/>
    <col min="9729" max="9729" width="2.7109375" style="1299" customWidth="1"/>
    <col min="9730" max="9730" width="1.140625" style="1299" customWidth="1"/>
    <col min="9731" max="9731" width="1.5703125" style="1299" customWidth="1"/>
    <col min="9732" max="9732" width="2.5703125" style="1299" customWidth="1"/>
    <col min="9733" max="9733" width="3" style="1299" customWidth="1"/>
    <col min="9734" max="9734" width="34.42578125" style="1299" customWidth="1"/>
    <col min="9735" max="9735" width="14.28515625" style="1299" customWidth="1"/>
    <col min="9736" max="9736" width="14.42578125" style="1299" customWidth="1"/>
    <col min="9737" max="9737" width="13.28515625" style="1299" customWidth="1"/>
    <col min="9738" max="9738" width="12.140625" style="1299" customWidth="1"/>
    <col min="9739" max="9739" width="14.140625" style="1299" customWidth="1"/>
    <col min="9740" max="9740" width="10.140625" style="1299" customWidth="1"/>
    <col min="9741" max="9741" width="11.28515625" style="1299" customWidth="1"/>
    <col min="9742" max="9742" width="8.7109375" style="1299" customWidth="1"/>
    <col min="9743" max="9745" width="11.42578125" style="1299" customWidth="1"/>
    <col min="9746" max="9746" width="15" style="1299" customWidth="1"/>
    <col min="9747" max="9984" width="7.85546875" style="1299"/>
    <col min="9985" max="9985" width="2.7109375" style="1299" customWidth="1"/>
    <col min="9986" max="9986" width="1.140625" style="1299" customWidth="1"/>
    <col min="9987" max="9987" width="1.5703125" style="1299" customWidth="1"/>
    <col min="9988" max="9988" width="2.5703125" style="1299" customWidth="1"/>
    <col min="9989" max="9989" width="3" style="1299" customWidth="1"/>
    <col min="9990" max="9990" width="34.42578125" style="1299" customWidth="1"/>
    <col min="9991" max="9991" width="14.28515625" style="1299" customWidth="1"/>
    <col min="9992" max="9992" width="14.42578125" style="1299" customWidth="1"/>
    <col min="9993" max="9993" width="13.28515625" style="1299" customWidth="1"/>
    <col min="9994" max="9994" width="12.140625" style="1299" customWidth="1"/>
    <col min="9995" max="9995" width="14.140625" style="1299" customWidth="1"/>
    <col min="9996" max="9996" width="10.140625" style="1299" customWidth="1"/>
    <col min="9997" max="9997" width="11.28515625" style="1299" customWidth="1"/>
    <col min="9998" max="9998" width="8.7109375" style="1299" customWidth="1"/>
    <col min="9999" max="10001" width="11.42578125" style="1299" customWidth="1"/>
    <col min="10002" max="10002" width="15" style="1299" customWidth="1"/>
    <col min="10003" max="10240" width="7.85546875" style="1299"/>
    <col min="10241" max="10241" width="2.7109375" style="1299" customWidth="1"/>
    <col min="10242" max="10242" width="1.140625" style="1299" customWidth="1"/>
    <col min="10243" max="10243" width="1.5703125" style="1299" customWidth="1"/>
    <col min="10244" max="10244" width="2.5703125" style="1299" customWidth="1"/>
    <col min="10245" max="10245" width="3" style="1299" customWidth="1"/>
    <col min="10246" max="10246" width="34.42578125" style="1299" customWidth="1"/>
    <col min="10247" max="10247" width="14.28515625" style="1299" customWidth="1"/>
    <col min="10248" max="10248" width="14.42578125" style="1299" customWidth="1"/>
    <col min="10249" max="10249" width="13.28515625" style="1299" customWidth="1"/>
    <col min="10250" max="10250" width="12.140625" style="1299" customWidth="1"/>
    <col min="10251" max="10251" width="14.140625" style="1299" customWidth="1"/>
    <col min="10252" max="10252" width="10.140625" style="1299" customWidth="1"/>
    <col min="10253" max="10253" width="11.28515625" style="1299" customWidth="1"/>
    <col min="10254" max="10254" width="8.7109375" style="1299" customWidth="1"/>
    <col min="10255" max="10257" width="11.42578125" style="1299" customWidth="1"/>
    <col min="10258" max="10258" width="15" style="1299" customWidth="1"/>
    <col min="10259" max="10496" width="7.85546875" style="1299"/>
    <col min="10497" max="10497" width="2.7109375" style="1299" customWidth="1"/>
    <col min="10498" max="10498" width="1.140625" style="1299" customWidth="1"/>
    <col min="10499" max="10499" width="1.5703125" style="1299" customWidth="1"/>
    <col min="10500" max="10500" width="2.5703125" style="1299" customWidth="1"/>
    <col min="10501" max="10501" width="3" style="1299" customWidth="1"/>
    <col min="10502" max="10502" width="34.42578125" style="1299" customWidth="1"/>
    <col min="10503" max="10503" width="14.28515625" style="1299" customWidth="1"/>
    <col min="10504" max="10504" width="14.42578125" style="1299" customWidth="1"/>
    <col min="10505" max="10505" width="13.28515625" style="1299" customWidth="1"/>
    <col min="10506" max="10506" width="12.140625" style="1299" customWidth="1"/>
    <col min="10507" max="10507" width="14.140625" style="1299" customWidth="1"/>
    <col min="10508" max="10508" width="10.140625" style="1299" customWidth="1"/>
    <col min="10509" max="10509" width="11.28515625" style="1299" customWidth="1"/>
    <col min="10510" max="10510" width="8.7109375" style="1299" customWidth="1"/>
    <col min="10511" max="10513" width="11.42578125" style="1299" customWidth="1"/>
    <col min="10514" max="10514" width="15" style="1299" customWidth="1"/>
    <col min="10515" max="10752" width="7.85546875" style="1299"/>
    <col min="10753" max="10753" width="2.7109375" style="1299" customWidth="1"/>
    <col min="10754" max="10754" width="1.140625" style="1299" customWidth="1"/>
    <col min="10755" max="10755" width="1.5703125" style="1299" customWidth="1"/>
    <col min="10756" max="10756" width="2.5703125" style="1299" customWidth="1"/>
    <col min="10757" max="10757" width="3" style="1299" customWidth="1"/>
    <col min="10758" max="10758" width="34.42578125" style="1299" customWidth="1"/>
    <col min="10759" max="10759" width="14.28515625" style="1299" customWidth="1"/>
    <col min="10760" max="10760" width="14.42578125" style="1299" customWidth="1"/>
    <col min="10761" max="10761" width="13.28515625" style="1299" customWidth="1"/>
    <col min="10762" max="10762" width="12.140625" style="1299" customWidth="1"/>
    <col min="10763" max="10763" width="14.140625" style="1299" customWidth="1"/>
    <col min="10764" max="10764" width="10.140625" style="1299" customWidth="1"/>
    <col min="10765" max="10765" width="11.28515625" style="1299" customWidth="1"/>
    <col min="10766" max="10766" width="8.7109375" style="1299" customWidth="1"/>
    <col min="10767" max="10769" width="11.42578125" style="1299" customWidth="1"/>
    <col min="10770" max="10770" width="15" style="1299" customWidth="1"/>
    <col min="10771" max="11008" width="7.85546875" style="1299"/>
    <col min="11009" max="11009" width="2.7109375" style="1299" customWidth="1"/>
    <col min="11010" max="11010" width="1.140625" style="1299" customWidth="1"/>
    <col min="11011" max="11011" width="1.5703125" style="1299" customWidth="1"/>
    <col min="11012" max="11012" width="2.5703125" style="1299" customWidth="1"/>
    <col min="11013" max="11013" width="3" style="1299" customWidth="1"/>
    <col min="11014" max="11014" width="34.42578125" style="1299" customWidth="1"/>
    <col min="11015" max="11015" width="14.28515625" style="1299" customWidth="1"/>
    <col min="11016" max="11016" width="14.42578125" style="1299" customWidth="1"/>
    <col min="11017" max="11017" width="13.28515625" style="1299" customWidth="1"/>
    <col min="11018" max="11018" width="12.140625" style="1299" customWidth="1"/>
    <col min="11019" max="11019" width="14.140625" style="1299" customWidth="1"/>
    <col min="11020" max="11020" width="10.140625" style="1299" customWidth="1"/>
    <col min="11021" max="11021" width="11.28515625" style="1299" customWidth="1"/>
    <col min="11022" max="11022" width="8.7109375" style="1299" customWidth="1"/>
    <col min="11023" max="11025" width="11.42578125" style="1299" customWidth="1"/>
    <col min="11026" max="11026" width="15" style="1299" customWidth="1"/>
    <col min="11027" max="11264" width="7.85546875" style="1299"/>
    <col min="11265" max="11265" width="2.7109375" style="1299" customWidth="1"/>
    <col min="11266" max="11266" width="1.140625" style="1299" customWidth="1"/>
    <col min="11267" max="11267" width="1.5703125" style="1299" customWidth="1"/>
    <col min="11268" max="11268" width="2.5703125" style="1299" customWidth="1"/>
    <col min="11269" max="11269" width="3" style="1299" customWidth="1"/>
    <col min="11270" max="11270" width="34.42578125" style="1299" customWidth="1"/>
    <col min="11271" max="11271" width="14.28515625" style="1299" customWidth="1"/>
    <col min="11272" max="11272" width="14.42578125" style="1299" customWidth="1"/>
    <col min="11273" max="11273" width="13.28515625" style="1299" customWidth="1"/>
    <col min="11274" max="11274" width="12.140625" style="1299" customWidth="1"/>
    <col min="11275" max="11275" width="14.140625" style="1299" customWidth="1"/>
    <col min="11276" max="11276" width="10.140625" style="1299" customWidth="1"/>
    <col min="11277" max="11277" width="11.28515625" style="1299" customWidth="1"/>
    <col min="11278" max="11278" width="8.7109375" style="1299" customWidth="1"/>
    <col min="11279" max="11281" width="11.42578125" style="1299" customWidth="1"/>
    <col min="11282" max="11282" width="15" style="1299" customWidth="1"/>
    <col min="11283" max="11520" width="7.85546875" style="1299"/>
    <col min="11521" max="11521" width="2.7109375" style="1299" customWidth="1"/>
    <col min="11522" max="11522" width="1.140625" style="1299" customWidth="1"/>
    <col min="11523" max="11523" width="1.5703125" style="1299" customWidth="1"/>
    <col min="11524" max="11524" width="2.5703125" style="1299" customWidth="1"/>
    <col min="11525" max="11525" width="3" style="1299" customWidth="1"/>
    <col min="11526" max="11526" width="34.42578125" style="1299" customWidth="1"/>
    <col min="11527" max="11527" width="14.28515625" style="1299" customWidth="1"/>
    <col min="11528" max="11528" width="14.42578125" style="1299" customWidth="1"/>
    <col min="11529" max="11529" width="13.28515625" style="1299" customWidth="1"/>
    <col min="11530" max="11530" width="12.140625" style="1299" customWidth="1"/>
    <col min="11531" max="11531" width="14.140625" style="1299" customWidth="1"/>
    <col min="11532" max="11532" width="10.140625" style="1299" customWidth="1"/>
    <col min="11533" max="11533" width="11.28515625" style="1299" customWidth="1"/>
    <col min="11534" max="11534" width="8.7109375" style="1299" customWidth="1"/>
    <col min="11535" max="11537" width="11.42578125" style="1299" customWidth="1"/>
    <col min="11538" max="11538" width="15" style="1299" customWidth="1"/>
    <col min="11539" max="11776" width="7.85546875" style="1299"/>
    <col min="11777" max="11777" width="2.7109375" style="1299" customWidth="1"/>
    <col min="11778" max="11778" width="1.140625" style="1299" customWidth="1"/>
    <col min="11779" max="11779" width="1.5703125" style="1299" customWidth="1"/>
    <col min="11780" max="11780" width="2.5703125" style="1299" customWidth="1"/>
    <col min="11781" max="11781" width="3" style="1299" customWidth="1"/>
    <col min="11782" max="11782" width="34.42578125" style="1299" customWidth="1"/>
    <col min="11783" max="11783" width="14.28515625" style="1299" customWidth="1"/>
    <col min="11784" max="11784" width="14.42578125" style="1299" customWidth="1"/>
    <col min="11785" max="11785" width="13.28515625" style="1299" customWidth="1"/>
    <col min="11786" max="11786" width="12.140625" style="1299" customWidth="1"/>
    <col min="11787" max="11787" width="14.140625" style="1299" customWidth="1"/>
    <col min="11788" max="11788" width="10.140625" style="1299" customWidth="1"/>
    <col min="11789" max="11789" width="11.28515625" style="1299" customWidth="1"/>
    <col min="11790" max="11790" width="8.7109375" style="1299" customWidth="1"/>
    <col min="11791" max="11793" width="11.42578125" style="1299" customWidth="1"/>
    <col min="11794" max="11794" width="15" style="1299" customWidth="1"/>
    <col min="11795" max="12032" width="7.85546875" style="1299"/>
    <col min="12033" max="12033" width="2.7109375" style="1299" customWidth="1"/>
    <col min="12034" max="12034" width="1.140625" style="1299" customWidth="1"/>
    <col min="12035" max="12035" width="1.5703125" style="1299" customWidth="1"/>
    <col min="12036" max="12036" width="2.5703125" style="1299" customWidth="1"/>
    <col min="12037" max="12037" width="3" style="1299" customWidth="1"/>
    <col min="12038" max="12038" width="34.42578125" style="1299" customWidth="1"/>
    <col min="12039" max="12039" width="14.28515625" style="1299" customWidth="1"/>
    <col min="12040" max="12040" width="14.42578125" style="1299" customWidth="1"/>
    <col min="12041" max="12041" width="13.28515625" style="1299" customWidth="1"/>
    <col min="12042" max="12042" width="12.140625" style="1299" customWidth="1"/>
    <col min="12043" max="12043" width="14.140625" style="1299" customWidth="1"/>
    <col min="12044" max="12044" width="10.140625" style="1299" customWidth="1"/>
    <col min="12045" max="12045" width="11.28515625" style="1299" customWidth="1"/>
    <col min="12046" max="12046" width="8.7109375" style="1299" customWidth="1"/>
    <col min="12047" max="12049" width="11.42578125" style="1299" customWidth="1"/>
    <col min="12050" max="12050" width="15" style="1299" customWidth="1"/>
    <col min="12051" max="12288" width="7.85546875" style="1299"/>
    <col min="12289" max="12289" width="2.7109375" style="1299" customWidth="1"/>
    <col min="12290" max="12290" width="1.140625" style="1299" customWidth="1"/>
    <col min="12291" max="12291" width="1.5703125" style="1299" customWidth="1"/>
    <col min="12292" max="12292" width="2.5703125" style="1299" customWidth="1"/>
    <col min="12293" max="12293" width="3" style="1299" customWidth="1"/>
    <col min="12294" max="12294" width="34.42578125" style="1299" customWidth="1"/>
    <col min="12295" max="12295" width="14.28515625" style="1299" customWidth="1"/>
    <col min="12296" max="12296" width="14.42578125" style="1299" customWidth="1"/>
    <col min="12297" max="12297" width="13.28515625" style="1299" customWidth="1"/>
    <col min="12298" max="12298" width="12.140625" style="1299" customWidth="1"/>
    <col min="12299" max="12299" width="14.140625" style="1299" customWidth="1"/>
    <col min="12300" max="12300" width="10.140625" style="1299" customWidth="1"/>
    <col min="12301" max="12301" width="11.28515625" style="1299" customWidth="1"/>
    <col min="12302" max="12302" width="8.7109375" style="1299" customWidth="1"/>
    <col min="12303" max="12305" width="11.42578125" style="1299" customWidth="1"/>
    <col min="12306" max="12306" width="15" style="1299" customWidth="1"/>
    <col min="12307" max="12544" width="7.85546875" style="1299"/>
    <col min="12545" max="12545" width="2.7109375" style="1299" customWidth="1"/>
    <col min="12546" max="12546" width="1.140625" style="1299" customWidth="1"/>
    <col min="12547" max="12547" width="1.5703125" style="1299" customWidth="1"/>
    <col min="12548" max="12548" width="2.5703125" style="1299" customWidth="1"/>
    <col min="12549" max="12549" width="3" style="1299" customWidth="1"/>
    <col min="12550" max="12550" width="34.42578125" style="1299" customWidth="1"/>
    <col min="12551" max="12551" width="14.28515625" style="1299" customWidth="1"/>
    <col min="12552" max="12552" width="14.42578125" style="1299" customWidth="1"/>
    <col min="12553" max="12553" width="13.28515625" style="1299" customWidth="1"/>
    <col min="12554" max="12554" width="12.140625" style="1299" customWidth="1"/>
    <col min="12555" max="12555" width="14.140625" style="1299" customWidth="1"/>
    <col min="12556" max="12556" width="10.140625" style="1299" customWidth="1"/>
    <col min="12557" max="12557" width="11.28515625" style="1299" customWidth="1"/>
    <col min="12558" max="12558" width="8.7109375" style="1299" customWidth="1"/>
    <col min="12559" max="12561" width="11.42578125" style="1299" customWidth="1"/>
    <col min="12562" max="12562" width="15" style="1299" customWidth="1"/>
    <col min="12563" max="12800" width="7.85546875" style="1299"/>
    <col min="12801" max="12801" width="2.7109375" style="1299" customWidth="1"/>
    <col min="12802" max="12802" width="1.140625" style="1299" customWidth="1"/>
    <col min="12803" max="12803" width="1.5703125" style="1299" customWidth="1"/>
    <col min="12804" max="12804" width="2.5703125" style="1299" customWidth="1"/>
    <col min="12805" max="12805" width="3" style="1299" customWidth="1"/>
    <col min="12806" max="12806" width="34.42578125" style="1299" customWidth="1"/>
    <col min="12807" max="12807" width="14.28515625" style="1299" customWidth="1"/>
    <col min="12808" max="12808" width="14.42578125" style="1299" customWidth="1"/>
    <col min="12809" max="12809" width="13.28515625" style="1299" customWidth="1"/>
    <col min="12810" max="12810" width="12.140625" style="1299" customWidth="1"/>
    <col min="12811" max="12811" width="14.140625" style="1299" customWidth="1"/>
    <col min="12812" max="12812" width="10.140625" style="1299" customWidth="1"/>
    <col min="12813" max="12813" width="11.28515625" style="1299" customWidth="1"/>
    <col min="12814" max="12814" width="8.7109375" style="1299" customWidth="1"/>
    <col min="12815" max="12817" width="11.42578125" style="1299" customWidth="1"/>
    <col min="12818" max="12818" width="15" style="1299" customWidth="1"/>
    <col min="12819" max="13056" width="7.85546875" style="1299"/>
    <col min="13057" max="13057" width="2.7109375" style="1299" customWidth="1"/>
    <col min="13058" max="13058" width="1.140625" style="1299" customWidth="1"/>
    <col min="13059" max="13059" width="1.5703125" style="1299" customWidth="1"/>
    <col min="13060" max="13060" width="2.5703125" style="1299" customWidth="1"/>
    <col min="13061" max="13061" width="3" style="1299" customWidth="1"/>
    <col min="13062" max="13062" width="34.42578125" style="1299" customWidth="1"/>
    <col min="13063" max="13063" width="14.28515625" style="1299" customWidth="1"/>
    <col min="13064" max="13064" width="14.42578125" style="1299" customWidth="1"/>
    <col min="13065" max="13065" width="13.28515625" style="1299" customWidth="1"/>
    <col min="13066" max="13066" width="12.140625" style="1299" customWidth="1"/>
    <col min="13067" max="13067" width="14.140625" style="1299" customWidth="1"/>
    <col min="13068" max="13068" width="10.140625" style="1299" customWidth="1"/>
    <col min="13069" max="13069" width="11.28515625" style="1299" customWidth="1"/>
    <col min="13070" max="13070" width="8.7109375" style="1299" customWidth="1"/>
    <col min="13071" max="13073" width="11.42578125" style="1299" customWidth="1"/>
    <col min="13074" max="13074" width="15" style="1299" customWidth="1"/>
    <col min="13075" max="13312" width="7.85546875" style="1299"/>
    <col min="13313" max="13313" width="2.7109375" style="1299" customWidth="1"/>
    <col min="13314" max="13314" width="1.140625" style="1299" customWidth="1"/>
    <col min="13315" max="13315" width="1.5703125" style="1299" customWidth="1"/>
    <col min="13316" max="13316" width="2.5703125" style="1299" customWidth="1"/>
    <col min="13317" max="13317" width="3" style="1299" customWidth="1"/>
    <col min="13318" max="13318" width="34.42578125" style="1299" customWidth="1"/>
    <col min="13319" max="13319" width="14.28515625" style="1299" customWidth="1"/>
    <col min="13320" max="13320" width="14.42578125" style="1299" customWidth="1"/>
    <col min="13321" max="13321" width="13.28515625" style="1299" customWidth="1"/>
    <col min="13322" max="13322" width="12.140625" style="1299" customWidth="1"/>
    <col min="13323" max="13323" width="14.140625" style="1299" customWidth="1"/>
    <col min="13324" max="13324" width="10.140625" style="1299" customWidth="1"/>
    <col min="13325" max="13325" width="11.28515625" style="1299" customWidth="1"/>
    <col min="13326" max="13326" width="8.7109375" style="1299" customWidth="1"/>
    <col min="13327" max="13329" width="11.42578125" style="1299" customWidth="1"/>
    <col min="13330" max="13330" width="15" style="1299" customWidth="1"/>
    <col min="13331" max="13568" width="7.85546875" style="1299"/>
    <col min="13569" max="13569" width="2.7109375" style="1299" customWidth="1"/>
    <col min="13570" max="13570" width="1.140625" style="1299" customWidth="1"/>
    <col min="13571" max="13571" width="1.5703125" style="1299" customWidth="1"/>
    <col min="13572" max="13572" width="2.5703125" style="1299" customWidth="1"/>
    <col min="13573" max="13573" width="3" style="1299" customWidth="1"/>
    <col min="13574" max="13574" width="34.42578125" style="1299" customWidth="1"/>
    <col min="13575" max="13575" width="14.28515625" style="1299" customWidth="1"/>
    <col min="13576" max="13576" width="14.42578125" style="1299" customWidth="1"/>
    <col min="13577" max="13577" width="13.28515625" style="1299" customWidth="1"/>
    <col min="13578" max="13578" width="12.140625" style="1299" customWidth="1"/>
    <col min="13579" max="13579" width="14.140625" style="1299" customWidth="1"/>
    <col min="13580" max="13580" width="10.140625" style="1299" customWidth="1"/>
    <col min="13581" max="13581" width="11.28515625" style="1299" customWidth="1"/>
    <col min="13582" max="13582" width="8.7109375" style="1299" customWidth="1"/>
    <col min="13583" max="13585" width="11.42578125" style="1299" customWidth="1"/>
    <col min="13586" max="13586" width="15" style="1299" customWidth="1"/>
    <col min="13587" max="13824" width="7.85546875" style="1299"/>
    <col min="13825" max="13825" width="2.7109375" style="1299" customWidth="1"/>
    <col min="13826" max="13826" width="1.140625" style="1299" customWidth="1"/>
    <col min="13827" max="13827" width="1.5703125" style="1299" customWidth="1"/>
    <col min="13828" max="13828" width="2.5703125" style="1299" customWidth="1"/>
    <col min="13829" max="13829" width="3" style="1299" customWidth="1"/>
    <col min="13830" max="13830" width="34.42578125" style="1299" customWidth="1"/>
    <col min="13831" max="13831" width="14.28515625" style="1299" customWidth="1"/>
    <col min="13832" max="13832" width="14.42578125" style="1299" customWidth="1"/>
    <col min="13833" max="13833" width="13.28515625" style="1299" customWidth="1"/>
    <col min="13834" max="13834" width="12.140625" style="1299" customWidth="1"/>
    <col min="13835" max="13835" width="14.140625" style="1299" customWidth="1"/>
    <col min="13836" max="13836" width="10.140625" style="1299" customWidth="1"/>
    <col min="13837" max="13837" width="11.28515625" style="1299" customWidth="1"/>
    <col min="13838" max="13838" width="8.7109375" style="1299" customWidth="1"/>
    <col min="13839" max="13841" width="11.42578125" style="1299" customWidth="1"/>
    <col min="13842" max="13842" width="15" style="1299" customWidth="1"/>
    <col min="13843" max="14080" width="7.85546875" style="1299"/>
    <col min="14081" max="14081" width="2.7109375" style="1299" customWidth="1"/>
    <col min="14082" max="14082" width="1.140625" style="1299" customWidth="1"/>
    <col min="14083" max="14083" width="1.5703125" style="1299" customWidth="1"/>
    <col min="14084" max="14084" width="2.5703125" style="1299" customWidth="1"/>
    <col min="14085" max="14085" width="3" style="1299" customWidth="1"/>
    <col min="14086" max="14086" width="34.42578125" style="1299" customWidth="1"/>
    <col min="14087" max="14087" width="14.28515625" style="1299" customWidth="1"/>
    <col min="14088" max="14088" width="14.42578125" style="1299" customWidth="1"/>
    <col min="14089" max="14089" width="13.28515625" style="1299" customWidth="1"/>
    <col min="14090" max="14090" width="12.140625" style="1299" customWidth="1"/>
    <col min="14091" max="14091" width="14.140625" style="1299" customWidth="1"/>
    <col min="14092" max="14092" width="10.140625" style="1299" customWidth="1"/>
    <col min="14093" max="14093" width="11.28515625" style="1299" customWidth="1"/>
    <col min="14094" max="14094" width="8.7109375" style="1299" customWidth="1"/>
    <col min="14095" max="14097" width="11.42578125" style="1299" customWidth="1"/>
    <col min="14098" max="14098" width="15" style="1299" customWidth="1"/>
    <col min="14099" max="14336" width="7.85546875" style="1299"/>
    <col min="14337" max="14337" width="2.7109375" style="1299" customWidth="1"/>
    <col min="14338" max="14338" width="1.140625" style="1299" customWidth="1"/>
    <col min="14339" max="14339" width="1.5703125" style="1299" customWidth="1"/>
    <col min="14340" max="14340" width="2.5703125" style="1299" customWidth="1"/>
    <col min="14341" max="14341" width="3" style="1299" customWidth="1"/>
    <col min="14342" max="14342" width="34.42578125" style="1299" customWidth="1"/>
    <col min="14343" max="14343" width="14.28515625" style="1299" customWidth="1"/>
    <col min="14344" max="14344" width="14.42578125" style="1299" customWidth="1"/>
    <col min="14345" max="14345" width="13.28515625" style="1299" customWidth="1"/>
    <col min="14346" max="14346" width="12.140625" style="1299" customWidth="1"/>
    <col min="14347" max="14347" width="14.140625" style="1299" customWidth="1"/>
    <col min="14348" max="14348" width="10.140625" style="1299" customWidth="1"/>
    <col min="14349" max="14349" width="11.28515625" style="1299" customWidth="1"/>
    <col min="14350" max="14350" width="8.7109375" style="1299" customWidth="1"/>
    <col min="14351" max="14353" width="11.42578125" style="1299" customWidth="1"/>
    <col min="14354" max="14354" width="15" style="1299" customWidth="1"/>
    <col min="14355" max="14592" width="7.85546875" style="1299"/>
    <col min="14593" max="14593" width="2.7109375" style="1299" customWidth="1"/>
    <col min="14594" max="14594" width="1.140625" style="1299" customWidth="1"/>
    <col min="14595" max="14595" width="1.5703125" style="1299" customWidth="1"/>
    <col min="14596" max="14596" width="2.5703125" style="1299" customWidth="1"/>
    <col min="14597" max="14597" width="3" style="1299" customWidth="1"/>
    <col min="14598" max="14598" width="34.42578125" style="1299" customWidth="1"/>
    <col min="14599" max="14599" width="14.28515625" style="1299" customWidth="1"/>
    <col min="14600" max="14600" width="14.42578125" style="1299" customWidth="1"/>
    <col min="14601" max="14601" width="13.28515625" style="1299" customWidth="1"/>
    <col min="14602" max="14602" width="12.140625" style="1299" customWidth="1"/>
    <col min="14603" max="14603" width="14.140625" style="1299" customWidth="1"/>
    <col min="14604" max="14604" width="10.140625" style="1299" customWidth="1"/>
    <col min="14605" max="14605" width="11.28515625" style="1299" customWidth="1"/>
    <col min="14606" max="14606" width="8.7109375" style="1299" customWidth="1"/>
    <col min="14607" max="14609" width="11.42578125" style="1299" customWidth="1"/>
    <col min="14610" max="14610" width="15" style="1299" customWidth="1"/>
    <col min="14611" max="14848" width="7.85546875" style="1299"/>
    <col min="14849" max="14849" width="2.7109375" style="1299" customWidth="1"/>
    <col min="14850" max="14850" width="1.140625" style="1299" customWidth="1"/>
    <col min="14851" max="14851" width="1.5703125" style="1299" customWidth="1"/>
    <col min="14852" max="14852" width="2.5703125" style="1299" customWidth="1"/>
    <col min="14853" max="14853" width="3" style="1299" customWidth="1"/>
    <col min="14854" max="14854" width="34.42578125" style="1299" customWidth="1"/>
    <col min="14855" max="14855" width="14.28515625" style="1299" customWidth="1"/>
    <col min="14856" max="14856" width="14.42578125" style="1299" customWidth="1"/>
    <col min="14857" max="14857" width="13.28515625" style="1299" customWidth="1"/>
    <col min="14858" max="14858" width="12.140625" style="1299" customWidth="1"/>
    <col min="14859" max="14859" width="14.140625" style="1299" customWidth="1"/>
    <col min="14860" max="14860" width="10.140625" style="1299" customWidth="1"/>
    <col min="14861" max="14861" width="11.28515625" style="1299" customWidth="1"/>
    <col min="14862" max="14862" width="8.7109375" style="1299" customWidth="1"/>
    <col min="14863" max="14865" width="11.42578125" style="1299" customWidth="1"/>
    <col min="14866" max="14866" width="15" style="1299" customWidth="1"/>
    <col min="14867" max="15104" width="7.85546875" style="1299"/>
    <col min="15105" max="15105" width="2.7109375" style="1299" customWidth="1"/>
    <col min="15106" max="15106" width="1.140625" style="1299" customWidth="1"/>
    <col min="15107" max="15107" width="1.5703125" style="1299" customWidth="1"/>
    <col min="15108" max="15108" width="2.5703125" style="1299" customWidth="1"/>
    <col min="15109" max="15109" width="3" style="1299" customWidth="1"/>
    <col min="15110" max="15110" width="34.42578125" style="1299" customWidth="1"/>
    <col min="15111" max="15111" width="14.28515625" style="1299" customWidth="1"/>
    <col min="15112" max="15112" width="14.42578125" style="1299" customWidth="1"/>
    <col min="15113" max="15113" width="13.28515625" style="1299" customWidth="1"/>
    <col min="15114" max="15114" width="12.140625" style="1299" customWidth="1"/>
    <col min="15115" max="15115" width="14.140625" style="1299" customWidth="1"/>
    <col min="15116" max="15116" width="10.140625" style="1299" customWidth="1"/>
    <col min="15117" max="15117" width="11.28515625" style="1299" customWidth="1"/>
    <col min="15118" max="15118" width="8.7109375" style="1299" customWidth="1"/>
    <col min="15119" max="15121" width="11.42578125" style="1299" customWidth="1"/>
    <col min="15122" max="15122" width="15" style="1299" customWidth="1"/>
    <col min="15123" max="15360" width="7.85546875" style="1299"/>
    <col min="15361" max="15361" width="2.7109375" style="1299" customWidth="1"/>
    <col min="15362" max="15362" width="1.140625" style="1299" customWidth="1"/>
    <col min="15363" max="15363" width="1.5703125" style="1299" customWidth="1"/>
    <col min="15364" max="15364" width="2.5703125" style="1299" customWidth="1"/>
    <col min="15365" max="15365" width="3" style="1299" customWidth="1"/>
    <col min="15366" max="15366" width="34.42578125" style="1299" customWidth="1"/>
    <col min="15367" max="15367" width="14.28515625" style="1299" customWidth="1"/>
    <col min="15368" max="15368" width="14.42578125" style="1299" customWidth="1"/>
    <col min="15369" max="15369" width="13.28515625" style="1299" customWidth="1"/>
    <col min="15370" max="15370" width="12.140625" style="1299" customWidth="1"/>
    <col min="15371" max="15371" width="14.140625" style="1299" customWidth="1"/>
    <col min="15372" max="15372" width="10.140625" style="1299" customWidth="1"/>
    <col min="15373" max="15373" width="11.28515625" style="1299" customWidth="1"/>
    <col min="15374" max="15374" width="8.7109375" style="1299" customWidth="1"/>
    <col min="15375" max="15377" width="11.42578125" style="1299" customWidth="1"/>
    <col min="15378" max="15378" width="15" style="1299" customWidth="1"/>
    <col min="15379" max="15616" width="7.85546875" style="1299"/>
    <col min="15617" max="15617" width="2.7109375" style="1299" customWidth="1"/>
    <col min="15618" max="15618" width="1.140625" style="1299" customWidth="1"/>
    <col min="15619" max="15619" width="1.5703125" style="1299" customWidth="1"/>
    <col min="15620" max="15620" width="2.5703125" style="1299" customWidth="1"/>
    <col min="15621" max="15621" width="3" style="1299" customWidth="1"/>
    <col min="15622" max="15622" width="34.42578125" style="1299" customWidth="1"/>
    <col min="15623" max="15623" width="14.28515625" style="1299" customWidth="1"/>
    <col min="15624" max="15624" width="14.42578125" style="1299" customWidth="1"/>
    <col min="15625" max="15625" width="13.28515625" style="1299" customWidth="1"/>
    <col min="15626" max="15626" width="12.140625" style="1299" customWidth="1"/>
    <col min="15627" max="15627" width="14.140625" style="1299" customWidth="1"/>
    <col min="15628" max="15628" width="10.140625" style="1299" customWidth="1"/>
    <col min="15629" max="15629" width="11.28515625" style="1299" customWidth="1"/>
    <col min="15630" max="15630" width="8.7109375" style="1299" customWidth="1"/>
    <col min="15631" max="15633" width="11.42578125" style="1299" customWidth="1"/>
    <col min="15634" max="15634" width="15" style="1299" customWidth="1"/>
    <col min="15635" max="15872" width="7.85546875" style="1299"/>
    <col min="15873" max="15873" width="2.7109375" style="1299" customWidth="1"/>
    <col min="15874" max="15874" width="1.140625" style="1299" customWidth="1"/>
    <col min="15875" max="15875" width="1.5703125" style="1299" customWidth="1"/>
    <col min="15876" max="15876" width="2.5703125" style="1299" customWidth="1"/>
    <col min="15877" max="15877" width="3" style="1299" customWidth="1"/>
    <col min="15878" max="15878" width="34.42578125" style="1299" customWidth="1"/>
    <col min="15879" max="15879" width="14.28515625" style="1299" customWidth="1"/>
    <col min="15880" max="15880" width="14.42578125" style="1299" customWidth="1"/>
    <col min="15881" max="15881" width="13.28515625" style="1299" customWidth="1"/>
    <col min="15882" max="15882" width="12.140625" style="1299" customWidth="1"/>
    <col min="15883" max="15883" width="14.140625" style="1299" customWidth="1"/>
    <col min="15884" max="15884" width="10.140625" style="1299" customWidth="1"/>
    <col min="15885" max="15885" width="11.28515625" style="1299" customWidth="1"/>
    <col min="15886" max="15886" width="8.7109375" style="1299" customWidth="1"/>
    <col min="15887" max="15889" width="11.42578125" style="1299" customWidth="1"/>
    <col min="15890" max="15890" width="15" style="1299" customWidth="1"/>
    <col min="15891" max="16128" width="7.85546875" style="1299"/>
    <col min="16129" max="16129" width="2.7109375" style="1299" customWidth="1"/>
    <col min="16130" max="16130" width="1.140625" style="1299" customWidth="1"/>
    <col min="16131" max="16131" width="1.5703125" style="1299" customWidth="1"/>
    <col min="16132" max="16132" width="2.5703125" style="1299" customWidth="1"/>
    <col min="16133" max="16133" width="3" style="1299" customWidth="1"/>
    <col min="16134" max="16134" width="34.42578125" style="1299" customWidth="1"/>
    <col min="16135" max="16135" width="14.28515625" style="1299" customWidth="1"/>
    <col min="16136" max="16136" width="14.42578125" style="1299" customWidth="1"/>
    <col min="16137" max="16137" width="13.28515625" style="1299" customWidth="1"/>
    <col min="16138" max="16138" width="12.140625" style="1299" customWidth="1"/>
    <col min="16139" max="16139" width="14.140625" style="1299" customWidth="1"/>
    <col min="16140" max="16140" width="10.140625" style="1299" customWidth="1"/>
    <col min="16141" max="16141" width="11.28515625" style="1299" customWidth="1"/>
    <col min="16142" max="16142" width="8.7109375" style="1299" customWidth="1"/>
    <col min="16143" max="16145" width="11.42578125" style="1299" customWidth="1"/>
    <col min="16146" max="16146" width="15" style="1299" customWidth="1"/>
    <col min="16147" max="16384" width="7.85546875" style="1299"/>
  </cols>
  <sheetData>
    <row r="1" spans="1:227" ht="13.5">
      <c r="A1" s="1298"/>
    </row>
    <row r="2" spans="1:227" ht="12.75" customHeight="1">
      <c r="A2" s="1298" t="s">
        <v>983</v>
      </c>
    </row>
    <row r="3" spans="1:227" s="1302" customFormat="1" ht="12.75" customHeight="1">
      <c r="A3" s="1301" t="s">
        <v>236</v>
      </c>
      <c r="B3" s="1299"/>
      <c r="C3" s="1299"/>
      <c r="D3" s="1299"/>
      <c r="E3" s="1299"/>
      <c r="F3" s="1299"/>
      <c r="G3" s="1300" t="s">
        <v>507</v>
      </c>
      <c r="H3" s="1300" t="s">
        <v>508</v>
      </c>
      <c r="I3" s="1300" t="s">
        <v>182</v>
      </c>
      <c r="J3" s="1300" t="s">
        <v>509</v>
      </c>
      <c r="K3" s="1300" t="s">
        <v>510</v>
      </c>
      <c r="L3" s="1300" t="s">
        <v>984</v>
      </c>
      <c r="M3" s="1300" t="s">
        <v>985</v>
      </c>
      <c r="N3" s="1300" t="s">
        <v>986</v>
      </c>
      <c r="O3" s="1300" t="s">
        <v>987</v>
      </c>
      <c r="P3" s="1300" t="s">
        <v>988</v>
      </c>
      <c r="Q3" s="1300"/>
      <c r="R3" s="1300"/>
    </row>
    <row r="4" spans="1:227" s="1307" customFormat="1" ht="12.75" customHeight="1">
      <c r="A4" s="1784" t="s">
        <v>237</v>
      </c>
      <c r="B4" s="1785"/>
      <c r="C4" s="1785"/>
      <c r="D4" s="1785"/>
      <c r="E4" s="1785"/>
      <c r="F4" s="1785"/>
      <c r="G4" s="1303"/>
      <c r="H4" s="1303"/>
      <c r="I4" s="1303"/>
      <c r="J4" s="1303"/>
      <c r="K4" s="1303"/>
      <c r="L4" s="1304"/>
      <c r="M4" s="1304"/>
      <c r="N4" s="1304"/>
      <c r="O4" s="1304"/>
      <c r="P4" s="1305"/>
      <c r="Q4" s="1306"/>
      <c r="R4" s="1302"/>
    </row>
    <row r="5" spans="1:227" s="1307" customFormat="1" ht="15" customHeight="1">
      <c r="A5" s="1308"/>
      <c r="B5" s="1309"/>
      <c r="C5" s="1309"/>
      <c r="D5" s="1309"/>
      <c r="E5" s="1309"/>
      <c r="F5" s="1309"/>
      <c r="G5" s="1310"/>
      <c r="H5" s="1311"/>
      <c r="I5" s="1311"/>
      <c r="J5" s="1311"/>
      <c r="K5" s="1311"/>
      <c r="L5" s="1311"/>
      <c r="M5" s="1311"/>
      <c r="N5" s="1312" t="s">
        <v>1069</v>
      </c>
      <c r="O5" s="1246"/>
      <c r="P5" s="1246"/>
      <c r="Q5" s="1313"/>
      <c r="R5" s="1302"/>
    </row>
    <row r="6" spans="1:227" s="1324" customFormat="1" ht="12.75" customHeight="1">
      <c r="A6" s="1314"/>
      <c r="B6" s="1315"/>
      <c r="C6" s="1315"/>
      <c r="D6" s="1315"/>
      <c r="E6" s="1316"/>
      <c r="F6" s="1317"/>
      <c r="G6" s="1318" t="s">
        <v>74</v>
      </c>
      <c r="H6" s="1786" t="s">
        <v>84</v>
      </c>
      <c r="I6" s="1786"/>
      <c r="J6" s="1786"/>
      <c r="K6" s="1787"/>
      <c r="L6" s="1319"/>
      <c r="M6" s="1319"/>
      <c r="N6" s="1320" t="s">
        <v>219</v>
      </c>
      <c r="O6" s="1310"/>
      <c r="P6" s="1321"/>
      <c r="Q6" s="1322"/>
      <c r="R6" s="1323"/>
    </row>
    <row r="7" spans="1:227" s="1307" customFormat="1" ht="12.75" customHeight="1">
      <c r="A7" s="1325"/>
      <c r="B7" s="1326"/>
      <c r="C7" s="1326"/>
      <c r="D7" s="1326"/>
      <c r="E7" s="1327" t="s">
        <v>217</v>
      </c>
      <c r="F7" s="1328"/>
      <c r="G7" s="1329" t="s">
        <v>1010</v>
      </c>
      <c r="H7" s="1330"/>
      <c r="I7" s="1331" t="s">
        <v>1064</v>
      </c>
      <c r="J7" s="1331"/>
      <c r="K7" s="1332"/>
      <c r="L7" s="1310"/>
      <c r="M7" s="1310"/>
      <c r="N7" s="1310"/>
      <c r="O7" s="1197" t="s">
        <v>1068</v>
      </c>
      <c r="P7" s="1321"/>
      <c r="Q7" s="1313"/>
      <c r="R7" s="1302"/>
    </row>
    <row r="8" spans="1:227" s="1307" customFormat="1" ht="12.75" customHeight="1">
      <c r="A8" s="1333"/>
      <c r="B8" s="1334"/>
      <c r="C8" s="1334"/>
      <c r="D8" s="1334"/>
      <c r="E8" s="1333"/>
      <c r="F8" s="1334"/>
      <c r="G8" s="1335"/>
      <c r="H8" s="1331"/>
      <c r="I8" s="1331"/>
      <c r="J8" s="1331"/>
      <c r="K8" s="1332"/>
      <c r="L8" s="1336"/>
      <c r="M8" s="1336"/>
      <c r="N8" s="1336"/>
      <c r="O8" s="1336"/>
      <c r="P8" s="1337"/>
      <c r="Q8" s="1313"/>
      <c r="R8" s="1302"/>
    </row>
    <row r="9" spans="1:227" ht="12.75" customHeight="1">
      <c r="A9" s="1338"/>
      <c r="B9" s="1326"/>
      <c r="C9" s="1326"/>
      <c r="D9" s="1326"/>
      <c r="E9" s="1326"/>
      <c r="F9" s="1326"/>
      <c r="G9" s="1310"/>
      <c r="H9" s="1310"/>
      <c r="I9" s="1310"/>
      <c r="K9" s="1310"/>
      <c r="L9" s="1310"/>
      <c r="M9" s="1310"/>
      <c r="N9" s="1310" t="s">
        <v>210</v>
      </c>
      <c r="O9" s="1310"/>
      <c r="P9" s="1310"/>
      <c r="Q9" s="1339"/>
    </row>
    <row r="10" spans="1:227" s="1344" customFormat="1" ht="12.75" customHeight="1">
      <c r="A10" s="1340"/>
      <c r="B10" s="1341"/>
      <c r="C10" s="1341"/>
      <c r="D10" s="1341"/>
      <c r="E10" s="1341"/>
      <c r="F10" s="1341"/>
      <c r="G10" s="1342">
        <v>600</v>
      </c>
      <c r="H10" s="1342">
        <v>601</v>
      </c>
      <c r="I10" s="1342">
        <v>602</v>
      </c>
      <c r="J10" s="1342">
        <v>603</v>
      </c>
      <c r="K10" s="1342">
        <v>604</v>
      </c>
      <c r="L10" s="1342" t="s">
        <v>70</v>
      </c>
      <c r="M10" s="1342" t="s">
        <v>112</v>
      </c>
      <c r="N10" s="1342" t="s">
        <v>71</v>
      </c>
      <c r="O10" s="1342">
        <v>231</v>
      </c>
      <c r="P10" s="1343" t="s">
        <v>85</v>
      </c>
      <c r="Q10" s="1788" t="s">
        <v>989</v>
      </c>
      <c r="R10" s="1311"/>
      <c r="S10" s="1309"/>
      <c r="T10" s="1309"/>
      <c r="U10" s="1309"/>
      <c r="V10" s="1309"/>
      <c r="W10" s="1309"/>
      <c r="X10" s="1309"/>
      <c r="Y10" s="1309"/>
      <c r="Z10" s="1309"/>
      <c r="AA10" s="1309"/>
      <c r="AB10" s="1309"/>
      <c r="AC10" s="1309"/>
      <c r="AD10" s="1309"/>
      <c r="AE10" s="1309"/>
      <c r="AF10" s="1309"/>
      <c r="AG10" s="1309"/>
      <c r="AH10" s="1309"/>
      <c r="AI10" s="1309"/>
      <c r="AJ10" s="1309"/>
      <c r="AK10" s="1309"/>
      <c r="AL10" s="1309"/>
      <c r="AM10" s="1309"/>
      <c r="AN10" s="1309"/>
      <c r="AO10" s="1309"/>
      <c r="AP10" s="1309"/>
      <c r="AQ10" s="1309"/>
      <c r="AR10" s="1309"/>
      <c r="AS10" s="1309"/>
      <c r="AT10" s="1309"/>
      <c r="AU10" s="1309"/>
      <c r="AV10" s="1309"/>
      <c r="AW10" s="1309"/>
      <c r="AX10" s="1309"/>
      <c r="AY10" s="1309"/>
      <c r="AZ10" s="1309"/>
      <c r="BA10" s="1309"/>
      <c r="BB10" s="1309"/>
      <c r="BC10" s="1309"/>
      <c r="BD10" s="1309"/>
      <c r="BE10" s="1309"/>
      <c r="BF10" s="1309"/>
      <c r="BG10" s="1309"/>
      <c r="BH10" s="1309"/>
      <c r="BI10" s="1309"/>
      <c r="BJ10" s="1309"/>
      <c r="BK10" s="1309"/>
      <c r="BL10" s="1309"/>
      <c r="BM10" s="1309"/>
      <c r="BN10" s="1309"/>
      <c r="BO10" s="1309"/>
      <c r="BP10" s="1309"/>
      <c r="BQ10" s="1309"/>
      <c r="BR10" s="1309"/>
      <c r="BS10" s="1309"/>
      <c r="BT10" s="1309"/>
      <c r="BU10" s="1309"/>
      <c r="BV10" s="1309"/>
      <c r="BW10" s="1309"/>
      <c r="BX10" s="1309"/>
      <c r="BY10" s="1309"/>
      <c r="BZ10" s="1309"/>
      <c r="CA10" s="1309"/>
      <c r="CB10" s="1309"/>
      <c r="CC10" s="1309"/>
      <c r="CD10" s="1309"/>
      <c r="CE10" s="1309"/>
      <c r="CF10" s="1309"/>
      <c r="CG10" s="1309"/>
      <c r="CH10" s="1309"/>
      <c r="CI10" s="1309"/>
      <c r="CJ10" s="1309"/>
      <c r="CK10" s="1309"/>
      <c r="CL10" s="1309"/>
      <c r="CM10" s="1309"/>
      <c r="CN10" s="1309"/>
      <c r="CO10" s="1309"/>
      <c r="CP10" s="1309"/>
      <c r="CQ10" s="1309"/>
      <c r="CR10" s="1309"/>
      <c r="CS10" s="1309"/>
      <c r="CT10" s="1309"/>
      <c r="CU10" s="1309"/>
      <c r="CV10" s="1309"/>
      <c r="CW10" s="1309"/>
      <c r="CX10" s="1309"/>
      <c r="CY10" s="1309"/>
      <c r="CZ10" s="1309"/>
      <c r="DA10" s="1309"/>
      <c r="DB10" s="1309"/>
      <c r="DC10" s="1309"/>
      <c r="DD10" s="1309"/>
      <c r="DE10" s="1309"/>
      <c r="DF10" s="1309"/>
      <c r="DG10" s="1309"/>
      <c r="DH10" s="1309"/>
      <c r="DI10" s="1309"/>
      <c r="DJ10" s="1309"/>
      <c r="DK10" s="1309"/>
      <c r="DL10" s="1309"/>
      <c r="DM10" s="1309"/>
      <c r="DN10" s="1309"/>
      <c r="DO10" s="1309"/>
      <c r="DP10" s="1309"/>
      <c r="DQ10" s="1309"/>
      <c r="DR10" s="1309"/>
      <c r="DS10" s="1309"/>
      <c r="DT10" s="1309"/>
      <c r="DU10" s="1309"/>
      <c r="DV10" s="1309"/>
      <c r="DW10" s="1309"/>
      <c r="DX10" s="1309"/>
      <c r="DY10" s="1309"/>
      <c r="DZ10" s="1309"/>
      <c r="EA10" s="1309"/>
      <c r="EB10" s="1309"/>
      <c r="EC10" s="1309"/>
      <c r="ED10" s="1309"/>
      <c r="EE10" s="1309"/>
      <c r="EF10" s="1309"/>
      <c r="EG10" s="1309"/>
      <c r="EH10" s="1309"/>
      <c r="EI10" s="1309"/>
      <c r="EJ10" s="1309"/>
      <c r="EK10" s="1309"/>
      <c r="EL10" s="1309"/>
      <c r="EM10" s="1309"/>
      <c r="EN10" s="1309"/>
      <c r="EO10" s="1309"/>
      <c r="EP10" s="1309"/>
      <c r="EQ10" s="1309"/>
      <c r="ER10" s="1309"/>
      <c r="ES10" s="1309"/>
      <c r="ET10" s="1309"/>
      <c r="EU10" s="1309"/>
      <c r="EV10" s="1309"/>
      <c r="EW10" s="1309"/>
      <c r="EX10" s="1309"/>
      <c r="EY10" s="1309"/>
      <c r="EZ10" s="1309"/>
      <c r="FA10" s="1309"/>
      <c r="FB10" s="1309"/>
      <c r="FC10" s="1309"/>
      <c r="FD10" s="1309"/>
      <c r="FE10" s="1309"/>
      <c r="FF10" s="1309"/>
      <c r="FG10" s="1309"/>
      <c r="FH10" s="1309"/>
      <c r="FI10" s="1309"/>
      <c r="FJ10" s="1309"/>
      <c r="FK10" s="1309"/>
      <c r="FL10" s="1309"/>
      <c r="FM10" s="1309"/>
      <c r="FN10" s="1309"/>
      <c r="FO10" s="1309"/>
      <c r="FP10" s="1309"/>
      <c r="FQ10" s="1309"/>
      <c r="FR10" s="1309"/>
      <c r="FS10" s="1309"/>
      <c r="FT10" s="1309"/>
      <c r="FU10" s="1309"/>
      <c r="FV10" s="1309"/>
      <c r="FW10" s="1309"/>
      <c r="FX10" s="1309"/>
      <c r="FY10" s="1309"/>
      <c r="FZ10" s="1309"/>
      <c r="GA10" s="1309"/>
      <c r="GB10" s="1309"/>
      <c r="GC10" s="1309"/>
      <c r="GD10" s="1309"/>
      <c r="GE10" s="1309"/>
      <c r="GF10" s="1309"/>
      <c r="GG10" s="1309"/>
      <c r="GH10" s="1309"/>
      <c r="GI10" s="1309"/>
      <c r="GJ10" s="1309"/>
      <c r="GK10" s="1309"/>
      <c r="GL10" s="1309"/>
      <c r="GM10" s="1309"/>
      <c r="GN10" s="1309"/>
      <c r="GO10" s="1309"/>
      <c r="GP10" s="1309"/>
      <c r="GQ10" s="1309"/>
      <c r="GR10" s="1309"/>
      <c r="GS10" s="1309"/>
      <c r="GT10" s="1309"/>
      <c r="GU10" s="1309"/>
      <c r="GV10" s="1309"/>
      <c r="GW10" s="1309"/>
      <c r="GX10" s="1309"/>
      <c r="GY10" s="1309"/>
      <c r="GZ10" s="1309"/>
      <c r="HA10" s="1309"/>
      <c r="HB10" s="1309"/>
      <c r="HC10" s="1309"/>
      <c r="HD10" s="1309"/>
      <c r="HE10" s="1309"/>
      <c r="HF10" s="1309"/>
      <c r="HG10" s="1309"/>
      <c r="HH10" s="1309"/>
      <c r="HI10" s="1309"/>
      <c r="HJ10" s="1309"/>
      <c r="HK10" s="1309"/>
      <c r="HL10" s="1309"/>
      <c r="HM10" s="1309"/>
      <c r="HN10" s="1309"/>
      <c r="HO10" s="1309"/>
      <c r="HP10" s="1309"/>
      <c r="HQ10" s="1309"/>
      <c r="HR10" s="1309"/>
      <c r="HS10" s="1309"/>
    </row>
    <row r="11" spans="1:227" s="1352" customFormat="1" ht="12.75" customHeight="1">
      <c r="A11" s="1345" t="s">
        <v>83</v>
      </c>
      <c r="B11" s="1346"/>
      <c r="C11" s="1346" t="s">
        <v>86</v>
      </c>
      <c r="D11" s="1346"/>
      <c r="E11" s="1346" t="s">
        <v>87</v>
      </c>
      <c r="F11" s="1346"/>
      <c r="G11" s="1347" t="s">
        <v>88</v>
      </c>
      <c r="H11" s="1347" t="s">
        <v>89</v>
      </c>
      <c r="I11" s="1347" t="s">
        <v>90</v>
      </c>
      <c r="J11" s="1347" t="s">
        <v>91</v>
      </c>
      <c r="K11" s="1347" t="s">
        <v>92</v>
      </c>
      <c r="L11" s="1347" t="s">
        <v>93</v>
      </c>
      <c r="M11" s="1347" t="s">
        <v>113</v>
      </c>
      <c r="N11" s="1347" t="s">
        <v>94</v>
      </c>
      <c r="O11" s="1347" t="s">
        <v>95</v>
      </c>
      <c r="P11" s="1348"/>
      <c r="Q11" s="1788"/>
      <c r="R11" s="1349"/>
      <c r="S11" s="1350"/>
      <c r="T11" s="1350"/>
      <c r="U11" s="1350"/>
      <c r="V11" s="1350"/>
      <c r="W11" s="1350"/>
      <c r="X11" s="1350"/>
      <c r="Y11" s="1350"/>
      <c r="Z11" s="1350"/>
      <c r="AA11" s="1350"/>
      <c r="AB11" s="1350"/>
      <c r="AC11" s="1350"/>
      <c r="AD11" s="1350"/>
      <c r="AE11" s="1350"/>
      <c r="AF11" s="1350"/>
      <c r="AG11" s="1350"/>
      <c r="AH11" s="1350"/>
      <c r="AI11" s="1350"/>
      <c r="AJ11" s="1350"/>
      <c r="AK11" s="1350"/>
      <c r="AL11" s="1350"/>
      <c r="AM11" s="1350"/>
      <c r="AN11" s="1350"/>
      <c r="AO11" s="1350"/>
      <c r="AP11" s="1350"/>
      <c r="AQ11" s="1350"/>
      <c r="AR11" s="1350"/>
      <c r="AS11" s="1350"/>
      <c r="AT11" s="1350"/>
      <c r="AU11" s="1350"/>
      <c r="AV11" s="1350"/>
      <c r="AW11" s="1350"/>
      <c r="AX11" s="1350"/>
      <c r="AY11" s="1350"/>
      <c r="AZ11" s="1350"/>
      <c r="BA11" s="1350"/>
      <c r="BB11" s="1350"/>
      <c r="BC11" s="1350"/>
      <c r="BD11" s="1350"/>
      <c r="BE11" s="1350"/>
      <c r="BF11" s="1350"/>
      <c r="BG11" s="1350"/>
      <c r="BH11" s="1350"/>
      <c r="BI11" s="1350"/>
      <c r="BJ11" s="1350"/>
      <c r="BK11" s="1350"/>
      <c r="BL11" s="1350"/>
      <c r="BM11" s="1350"/>
      <c r="BN11" s="1350"/>
      <c r="BO11" s="1350"/>
      <c r="BP11" s="1350"/>
      <c r="BQ11" s="1350"/>
      <c r="BR11" s="1350"/>
      <c r="BS11" s="1350"/>
      <c r="BT11" s="1350"/>
      <c r="BU11" s="1350"/>
      <c r="BV11" s="1350"/>
      <c r="BW11" s="1350"/>
      <c r="BX11" s="1350"/>
      <c r="BY11" s="1350"/>
      <c r="BZ11" s="1350"/>
      <c r="CA11" s="1350"/>
      <c r="CB11" s="1350"/>
      <c r="CC11" s="1350"/>
      <c r="CD11" s="1350"/>
      <c r="CE11" s="1350"/>
      <c r="CF11" s="1350"/>
      <c r="CG11" s="1350"/>
      <c r="CH11" s="1350"/>
      <c r="CI11" s="1350"/>
      <c r="CJ11" s="1350"/>
      <c r="CK11" s="1350"/>
      <c r="CL11" s="1350"/>
      <c r="CM11" s="1350"/>
      <c r="CN11" s="1350"/>
      <c r="CO11" s="1350"/>
      <c r="CP11" s="1350"/>
      <c r="CQ11" s="1351"/>
      <c r="CR11" s="1351"/>
      <c r="CS11" s="1351"/>
      <c r="CT11" s="1351"/>
      <c r="CU11" s="1351"/>
      <c r="CV11" s="1351"/>
      <c r="CW11" s="1351"/>
      <c r="CX11" s="1351"/>
      <c r="CY11" s="1351"/>
      <c r="CZ11" s="1351"/>
      <c r="DA11" s="1351"/>
      <c r="DB11" s="1351"/>
      <c r="DC11" s="1351"/>
      <c r="DD11" s="1351"/>
      <c r="DE11" s="1351"/>
      <c r="DF11" s="1351"/>
      <c r="DG11" s="1351"/>
      <c r="DH11" s="1351"/>
      <c r="DI11" s="1351"/>
      <c r="DJ11" s="1351"/>
      <c r="DK11" s="1351"/>
      <c r="DL11" s="1351"/>
      <c r="DM11" s="1351"/>
      <c r="DN11" s="1351"/>
      <c r="DO11" s="1351"/>
      <c r="DP11" s="1351"/>
      <c r="DQ11" s="1351"/>
      <c r="DR11" s="1351"/>
      <c r="DS11" s="1351"/>
      <c r="DT11" s="1351"/>
      <c r="DU11" s="1351"/>
      <c r="DV11" s="1351"/>
      <c r="DW11" s="1351"/>
      <c r="DX11" s="1351"/>
      <c r="DY11" s="1351"/>
      <c r="DZ11" s="1351"/>
      <c r="EA11" s="1351"/>
      <c r="EB11" s="1351"/>
      <c r="EC11" s="1351"/>
      <c r="ED11" s="1351"/>
      <c r="EE11" s="1351"/>
      <c r="EF11" s="1351"/>
      <c r="EG11" s="1351"/>
      <c r="EH11" s="1351"/>
      <c r="EI11" s="1351"/>
      <c r="EJ11" s="1351"/>
      <c r="EK11" s="1351"/>
      <c r="EL11" s="1351"/>
      <c r="EM11" s="1351"/>
      <c r="EN11" s="1351"/>
      <c r="EO11" s="1351"/>
      <c r="EP11" s="1351"/>
      <c r="EQ11" s="1351"/>
      <c r="ER11" s="1351"/>
      <c r="ES11" s="1351"/>
      <c r="ET11" s="1351"/>
      <c r="EU11" s="1351"/>
      <c r="EV11" s="1351"/>
      <c r="EW11" s="1351"/>
      <c r="EX11" s="1351"/>
      <c r="EY11" s="1351"/>
      <c r="EZ11" s="1351"/>
      <c r="FA11" s="1351"/>
      <c r="FB11" s="1351"/>
      <c r="FC11" s="1351"/>
      <c r="FD11" s="1351"/>
      <c r="FE11" s="1351"/>
      <c r="FF11" s="1351"/>
      <c r="FG11" s="1351"/>
      <c r="FH11" s="1351"/>
      <c r="FI11" s="1351"/>
      <c r="FJ11" s="1351"/>
      <c r="FK11" s="1351"/>
      <c r="FL11" s="1351"/>
      <c r="FM11" s="1351"/>
      <c r="FN11" s="1351"/>
      <c r="FO11" s="1351"/>
      <c r="FP11" s="1351"/>
      <c r="FQ11" s="1351"/>
      <c r="FR11" s="1351"/>
      <c r="FS11" s="1351"/>
      <c r="FT11" s="1351"/>
      <c r="FU11" s="1351"/>
      <c r="FV11" s="1351"/>
      <c r="FW11" s="1351"/>
      <c r="FX11" s="1351"/>
      <c r="FY11" s="1351"/>
      <c r="FZ11" s="1351"/>
      <c r="GA11" s="1351"/>
      <c r="GB11" s="1351"/>
      <c r="GC11" s="1351"/>
      <c r="GD11" s="1351"/>
      <c r="GE11" s="1351"/>
      <c r="GF11" s="1351"/>
      <c r="GG11" s="1351"/>
      <c r="GH11" s="1351"/>
      <c r="GI11" s="1351"/>
      <c r="GJ11" s="1351"/>
      <c r="GK11" s="1351"/>
      <c r="GL11" s="1351"/>
      <c r="GM11" s="1351"/>
      <c r="GN11" s="1351"/>
      <c r="GO11" s="1351"/>
      <c r="GP11" s="1351"/>
      <c r="GQ11" s="1351"/>
      <c r="GR11" s="1351"/>
      <c r="GS11" s="1351"/>
      <c r="GT11" s="1351"/>
      <c r="GU11" s="1351"/>
      <c r="GV11" s="1351"/>
      <c r="GW11" s="1351"/>
      <c r="GX11" s="1351"/>
      <c r="GY11" s="1351"/>
      <c r="GZ11" s="1351"/>
      <c r="HA11" s="1351"/>
      <c r="HB11" s="1351"/>
      <c r="HC11" s="1351"/>
      <c r="HD11" s="1351"/>
      <c r="HE11" s="1351"/>
      <c r="HF11" s="1351"/>
      <c r="HG11" s="1351"/>
      <c r="HH11" s="1351"/>
      <c r="HI11" s="1351"/>
      <c r="HJ11" s="1351"/>
      <c r="HK11" s="1351"/>
      <c r="HL11" s="1351"/>
      <c r="HM11" s="1351"/>
      <c r="HN11" s="1351"/>
      <c r="HO11" s="1351"/>
      <c r="HP11" s="1351"/>
      <c r="HQ11" s="1351"/>
      <c r="HR11" s="1351"/>
      <c r="HS11" s="1351"/>
    </row>
    <row r="12" spans="1:227" s="1344" customFormat="1" ht="12.75" customHeight="1">
      <c r="A12" s="1353"/>
      <c r="B12" s="1354" t="s">
        <v>96</v>
      </c>
      <c r="C12" s="1354"/>
      <c r="D12" s="1354"/>
      <c r="E12" s="1354"/>
      <c r="F12" s="1354"/>
      <c r="G12" s="1355">
        <f>G13+G19+G25+G31+G37+G43</f>
        <v>11167</v>
      </c>
      <c r="H12" s="1355">
        <f t="shared" ref="H12:P12" si="0">H13+H19+H25+H31+H37+H43</f>
        <v>1865</v>
      </c>
      <c r="I12" s="1355">
        <f>I13+I19+I25+I31+I37+I43</f>
        <v>4165</v>
      </c>
      <c r="J12" s="1355">
        <f t="shared" si="0"/>
        <v>0</v>
      </c>
      <c r="K12" s="1355">
        <f t="shared" si="0"/>
        <v>0</v>
      </c>
      <c r="L12" s="1355">
        <f t="shared" si="0"/>
        <v>5500</v>
      </c>
      <c r="M12" s="1355">
        <f t="shared" si="0"/>
        <v>0</v>
      </c>
      <c r="N12" s="1355">
        <f t="shared" si="0"/>
        <v>1700</v>
      </c>
      <c r="O12" s="1355">
        <f t="shared" si="0"/>
        <v>0</v>
      </c>
      <c r="P12" s="1356">
        <f t="shared" si="0"/>
        <v>24397</v>
      </c>
      <c r="Q12" s="1357"/>
      <c r="R12" s="1358"/>
    </row>
    <row r="13" spans="1:227" s="1344" customFormat="1" ht="12.75" customHeight="1">
      <c r="A13" s="1359"/>
      <c r="B13" s="1360"/>
      <c r="C13" s="1360">
        <v>1</v>
      </c>
      <c r="D13" s="1360" t="s">
        <v>476</v>
      </c>
      <c r="E13" s="1360"/>
      <c r="F13" s="1360"/>
      <c r="G13" s="1360">
        <f>SUM(G14:G18)</f>
        <v>0</v>
      </c>
      <c r="H13" s="1360">
        <f t="shared" ref="H13:O13" si="1">SUM(H14:H18)</f>
        <v>0</v>
      </c>
      <c r="I13" s="1360">
        <f t="shared" si="1"/>
        <v>0</v>
      </c>
      <c r="J13" s="1360">
        <f t="shared" si="1"/>
        <v>0</v>
      </c>
      <c r="K13" s="1360">
        <f t="shared" si="1"/>
        <v>0</v>
      </c>
      <c r="L13" s="1360">
        <f t="shared" si="1"/>
        <v>0</v>
      </c>
      <c r="M13" s="1360">
        <f t="shared" si="1"/>
        <v>0</v>
      </c>
      <c r="N13" s="1360">
        <f t="shared" si="1"/>
        <v>0</v>
      </c>
      <c r="O13" s="1360">
        <f t="shared" si="1"/>
        <v>0</v>
      </c>
      <c r="P13" s="1360">
        <f>SUM(P14:P18)</f>
        <v>0</v>
      </c>
      <c r="Q13" s="1361"/>
      <c r="R13" s="1362"/>
    </row>
    <row r="14" spans="1:227" ht="12.75" customHeight="1">
      <c r="A14" s="1363"/>
      <c r="B14" s="1364"/>
      <c r="C14" s="1364"/>
      <c r="D14" s="1364"/>
      <c r="E14" s="1364">
        <v>1</v>
      </c>
      <c r="F14" s="1364" t="s">
        <v>98</v>
      </c>
      <c r="G14" s="1496"/>
      <c r="H14" s="1496"/>
      <c r="I14" s="1496"/>
      <c r="J14" s="1496"/>
      <c r="K14" s="1496"/>
      <c r="L14" s="1496"/>
      <c r="M14" s="1496"/>
      <c r="N14" s="1496"/>
      <c r="O14" s="1496"/>
      <c r="P14" s="1497">
        <f>SUM(G14:O14)</f>
        <v>0</v>
      </c>
      <c r="Q14" s="1498"/>
    </row>
    <row r="15" spans="1:227" ht="12.75" customHeight="1">
      <c r="A15" s="1363"/>
      <c r="B15" s="1364"/>
      <c r="C15" s="1364"/>
      <c r="D15" s="1364"/>
      <c r="E15" s="1364">
        <v>2</v>
      </c>
      <c r="F15" s="1364" t="s">
        <v>99</v>
      </c>
      <c r="G15" s="1496"/>
      <c r="H15" s="1496"/>
      <c r="I15" s="1496"/>
      <c r="J15" s="1496"/>
      <c r="K15" s="1496"/>
      <c r="L15" s="1496"/>
      <c r="M15" s="1496"/>
      <c r="N15" s="1496"/>
      <c r="O15" s="1496"/>
      <c r="P15" s="1497">
        <f t="shared" ref="P15:P48" si="2">SUM(G15:O15)</f>
        <v>0</v>
      </c>
      <c r="Q15" s="1498"/>
    </row>
    <row r="16" spans="1:227" ht="12.75" customHeight="1">
      <c r="A16" s="1363"/>
      <c r="B16" s="1364"/>
      <c r="C16" s="1364"/>
      <c r="D16" s="1364"/>
      <c r="E16" s="1364">
        <v>3</v>
      </c>
      <c r="F16" s="1364" t="s">
        <v>100</v>
      </c>
      <c r="G16" s="1496">
        <f>'P2. Buxheti 2022_2024'!G15</f>
        <v>0</v>
      </c>
      <c r="H16" s="1496">
        <f>'P2. Buxheti 2022_2024'!H15</f>
        <v>0</v>
      </c>
      <c r="I16" s="1496">
        <f>'P2. Buxheti 2022_2024'!I15</f>
        <v>0</v>
      </c>
      <c r="J16" s="1496">
        <f>'P2. Buxheti 2022_2024'!J15</f>
        <v>0</v>
      </c>
      <c r="K16" s="1496">
        <f>'P2. Buxheti 2022_2024'!K15</f>
        <v>0</v>
      </c>
      <c r="L16" s="1496">
        <f>'P2. Buxheti 2022_2024'!L15</f>
        <v>0</v>
      </c>
      <c r="M16" s="1496">
        <f>'P2. Buxheti 2022_2024'!M15</f>
        <v>0</v>
      </c>
      <c r="N16" s="1496">
        <f>'P2. Buxheti 2022_2024'!N15</f>
        <v>0</v>
      </c>
      <c r="O16" s="1496">
        <f>'P2. Buxheti 2022_2024'!O15</f>
        <v>0</v>
      </c>
      <c r="P16" s="1497">
        <f t="shared" si="2"/>
        <v>0</v>
      </c>
      <c r="Q16" s="1498"/>
    </row>
    <row r="17" spans="1:18" ht="12.75" customHeight="1">
      <c r="A17" s="1363"/>
      <c r="B17" s="1364"/>
      <c r="C17" s="1364"/>
      <c r="D17" s="1364"/>
      <c r="E17" s="1364">
        <v>4</v>
      </c>
      <c r="F17" s="1364" t="s">
        <v>101</v>
      </c>
      <c r="G17" s="1496">
        <f>'P2. Buxheti 2022_2024'!G16</f>
        <v>0</v>
      </c>
      <c r="H17" s="1496">
        <f>'P2. Buxheti 2022_2024'!H16</f>
        <v>0</v>
      </c>
      <c r="I17" s="1496">
        <f>'P2. Buxheti 2022_2024'!I16</f>
        <v>0</v>
      </c>
      <c r="J17" s="1496">
        <f>'P2. Buxheti 2022_2024'!J16</f>
        <v>0</v>
      </c>
      <c r="K17" s="1496">
        <f>'P2. Buxheti 2022_2024'!K16</f>
        <v>0</v>
      </c>
      <c r="L17" s="1496">
        <f>'P2. Buxheti 2022_2024'!L16</f>
        <v>0</v>
      </c>
      <c r="M17" s="1496">
        <f>'P2. Buxheti 2022_2024'!M16</f>
        <v>0</v>
      </c>
      <c r="N17" s="1496">
        <f>'P2. Buxheti 2022_2024'!N16</f>
        <v>0</v>
      </c>
      <c r="O17" s="1496">
        <f>'P2. Buxheti 2022_2024'!O16</f>
        <v>0</v>
      </c>
      <c r="P17" s="1497">
        <f t="shared" si="2"/>
        <v>0</v>
      </c>
      <c r="Q17" s="1498"/>
    </row>
    <row r="18" spans="1:18" ht="12.75" customHeight="1">
      <c r="A18" s="1363"/>
      <c r="B18" s="1364"/>
      <c r="C18" s="1364"/>
      <c r="D18" s="1364"/>
      <c r="E18" s="1364">
        <v>5</v>
      </c>
      <c r="F18" s="1364" t="s">
        <v>102</v>
      </c>
      <c r="G18" s="1496"/>
      <c r="H18" s="1496"/>
      <c r="I18" s="1496"/>
      <c r="J18" s="1496"/>
      <c r="K18" s="1496"/>
      <c r="L18" s="1496"/>
      <c r="M18" s="1496"/>
      <c r="N18" s="1496"/>
      <c r="O18" s="1496"/>
      <c r="P18" s="1497">
        <f t="shared" si="2"/>
        <v>0</v>
      </c>
      <c r="Q18" s="1498"/>
    </row>
    <row r="19" spans="1:18" s="1344" customFormat="1" ht="12.75" customHeight="1">
      <c r="A19" s="1359"/>
      <c r="B19" s="1360"/>
      <c r="C19" s="1360">
        <v>2</v>
      </c>
      <c r="D19" s="1360" t="s">
        <v>477</v>
      </c>
      <c r="E19" s="1360"/>
      <c r="F19" s="1360"/>
      <c r="G19" s="1499">
        <f t="shared" ref="G19:O19" si="3">SUM(G20:G24)</f>
        <v>0</v>
      </c>
      <c r="H19" s="1499">
        <f t="shared" si="3"/>
        <v>0</v>
      </c>
      <c r="I19" s="1499">
        <f t="shared" si="3"/>
        <v>0</v>
      </c>
      <c r="J19" s="1499">
        <f t="shared" si="3"/>
        <v>0</v>
      </c>
      <c r="K19" s="1499">
        <f t="shared" si="3"/>
        <v>0</v>
      </c>
      <c r="L19" s="1499">
        <f t="shared" si="3"/>
        <v>0</v>
      </c>
      <c r="M19" s="1499">
        <f t="shared" si="3"/>
        <v>0</v>
      </c>
      <c r="N19" s="1499">
        <f t="shared" si="3"/>
        <v>0</v>
      </c>
      <c r="O19" s="1499">
        <f t="shared" si="3"/>
        <v>0</v>
      </c>
      <c r="P19" s="1497">
        <f t="shared" si="2"/>
        <v>0</v>
      </c>
      <c r="Q19" s="1500"/>
      <c r="R19" s="1362"/>
    </row>
    <row r="20" spans="1:18" ht="12.75" customHeight="1">
      <c r="A20" s="1363"/>
      <c r="B20" s="1364"/>
      <c r="C20" s="1364"/>
      <c r="D20" s="1364"/>
      <c r="E20" s="1364">
        <v>1</v>
      </c>
      <c r="F20" s="1364" t="s">
        <v>98</v>
      </c>
      <c r="G20" s="1496">
        <f>'P2. Buxheti 2022_2024'!G19</f>
        <v>0</v>
      </c>
      <c r="H20" s="1496">
        <f>'P2. Buxheti 2022_2024'!H19</f>
        <v>0</v>
      </c>
      <c r="I20" s="1496">
        <f>'P2. Buxheti 2022_2024'!I19</f>
        <v>0</v>
      </c>
      <c r="J20" s="1496">
        <f>'P2. Buxheti 2022_2024'!J19</f>
        <v>0</v>
      </c>
      <c r="K20" s="1496">
        <f>'P2. Buxheti 2022_2024'!K19</f>
        <v>0</v>
      </c>
      <c r="L20" s="1496">
        <f>'P2. Buxheti 2022_2024'!L19</f>
        <v>0</v>
      </c>
      <c r="M20" s="1496">
        <f>'P2. Buxheti 2022_2024'!M19</f>
        <v>0</v>
      </c>
      <c r="N20" s="1496">
        <f>'P2. Buxheti 2022_2024'!N19</f>
        <v>0</v>
      </c>
      <c r="O20" s="1496">
        <f>'P2. Buxheti 2022_2024'!O19</f>
        <v>0</v>
      </c>
      <c r="P20" s="1497">
        <f t="shared" si="2"/>
        <v>0</v>
      </c>
      <c r="Q20" s="1498"/>
    </row>
    <row r="21" spans="1:18" ht="12.75" customHeight="1">
      <c r="A21" s="1363"/>
      <c r="B21" s="1364"/>
      <c r="C21" s="1364"/>
      <c r="D21" s="1364"/>
      <c r="E21" s="1364">
        <v>2</v>
      </c>
      <c r="F21" s="1364" t="s">
        <v>99</v>
      </c>
      <c r="G21" s="1496"/>
      <c r="H21" s="1496"/>
      <c r="I21" s="1496"/>
      <c r="J21" s="1496"/>
      <c r="K21" s="1496"/>
      <c r="L21" s="1496"/>
      <c r="M21" s="1496"/>
      <c r="N21" s="1496"/>
      <c r="O21" s="1496"/>
      <c r="P21" s="1497">
        <f t="shared" si="2"/>
        <v>0</v>
      </c>
      <c r="Q21" s="1498"/>
    </row>
    <row r="22" spans="1:18" ht="12.75" customHeight="1">
      <c r="A22" s="1363"/>
      <c r="B22" s="1364"/>
      <c r="C22" s="1364"/>
      <c r="D22" s="1364"/>
      <c r="E22" s="1364">
        <v>3</v>
      </c>
      <c r="F22" s="1364" t="s">
        <v>100</v>
      </c>
      <c r="G22" s="1496">
        <f>'P2. Buxheti 2022_2024'!G21</f>
        <v>0</v>
      </c>
      <c r="H22" s="1496">
        <f>'P2. Buxheti 2022_2024'!H21</f>
        <v>0</v>
      </c>
      <c r="I22" s="1496">
        <f>'P2. Buxheti 2022_2024'!I21</f>
        <v>0</v>
      </c>
      <c r="J22" s="1496">
        <f>'P2. Buxheti 2022_2024'!J21</f>
        <v>0</v>
      </c>
      <c r="K22" s="1496">
        <f>'P2. Buxheti 2022_2024'!K21</f>
        <v>0</v>
      </c>
      <c r="L22" s="1496">
        <f>'P2. Buxheti 2022_2024'!L21</f>
        <v>0</v>
      </c>
      <c r="M22" s="1496">
        <f>'P2. Buxheti 2022_2024'!M21</f>
        <v>0</v>
      </c>
      <c r="N22" s="1496">
        <f>'P2. Buxheti 2022_2024'!N21</f>
        <v>0</v>
      </c>
      <c r="O22" s="1496">
        <f>'P2. Buxheti 2022_2024'!O21</f>
        <v>0</v>
      </c>
      <c r="P22" s="1497">
        <f t="shared" si="2"/>
        <v>0</v>
      </c>
      <c r="Q22" s="1498"/>
    </row>
    <row r="23" spans="1:18" ht="12.75" customHeight="1">
      <c r="A23" s="1363"/>
      <c r="B23" s="1364"/>
      <c r="C23" s="1364"/>
      <c r="D23" s="1364"/>
      <c r="E23" s="1364">
        <v>4</v>
      </c>
      <c r="F23" s="1364" t="s">
        <v>101</v>
      </c>
      <c r="G23" s="1496">
        <f>'P2. Buxheti 2022_2024'!G22</f>
        <v>0</v>
      </c>
      <c r="H23" s="1496">
        <f>'P2. Buxheti 2022_2024'!H22</f>
        <v>0</v>
      </c>
      <c r="I23" s="1496">
        <f>'P2. Buxheti 2022_2024'!I22</f>
        <v>0</v>
      </c>
      <c r="J23" s="1496">
        <f>'P2. Buxheti 2022_2024'!J22</f>
        <v>0</v>
      </c>
      <c r="K23" s="1496">
        <f>'P2. Buxheti 2022_2024'!K22</f>
        <v>0</v>
      </c>
      <c r="L23" s="1496">
        <f>'P2. Buxheti 2022_2024'!L22</f>
        <v>0</v>
      </c>
      <c r="M23" s="1496">
        <f>'P2. Buxheti 2022_2024'!M22</f>
        <v>0</v>
      </c>
      <c r="N23" s="1496">
        <f>'P2. Buxheti 2022_2024'!N22</f>
        <v>0</v>
      </c>
      <c r="O23" s="1496">
        <f>'P2. Buxheti 2022_2024'!O22</f>
        <v>0</v>
      </c>
      <c r="P23" s="1497">
        <f t="shared" si="2"/>
        <v>0</v>
      </c>
      <c r="Q23" s="1498"/>
    </row>
    <row r="24" spans="1:18" ht="12.75" customHeight="1">
      <c r="A24" s="1363"/>
      <c r="B24" s="1364"/>
      <c r="C24" s="1364"/>
      <c r="D24" s="1364"/>
      <c r="E24" s="1364">
        <v>5</v>
      </c>
      <c r="F24" s="1364" t="s">
        <v>102</v>
      </c>
      <c r="G24" s="1496"/>
      <c r="H24" s="1496"/>
      <c r="I24" s="1496"/>
      <c r="J24" s="1496"/>
      <c r="K24" s="1496"/>
      <c r="L24" s="1496"/>
      <c r="M24" s="1496"/>
      <c r="N24" s="1496"/>
      <c r="O24" s="1496"/>
      <c r="P24" s="1497">
        <f t="shared" si="2"/>
        <v>0</v>
      </c>
      <c r="Q24" s="1498"/>
    </row>
    <row r="25" spans="1:18" s="1344" customFormat="1" ht="12.75" customHeight="1">
      <c r="A25" s="1359"/>
      <c r="B25" s="1360"/>
      <c r="C25" s="1360">
        <v>3</v>
      </c>
      <c r="D25" s="1360" t="s">
        <v>478</v>
      </c>
      <c r="E25" s="1360"/>
      <c r="F25" s="1360"/>
      <c r="G25" s="1499">
        <f t="shared" ref="G25:O25" si="4">SUM(G26:G30)</f>
        <v>0</v>
      </c>
      <c r="H25" s="1499">
        <f t="shared" si="4"/>
        <v>0</v>
      </c>
      <c r="I25" s="1499">
        <f t="shared" si="4"/>
        <v>0</v>
      </c>
      <c r="J25" s="1499">
        <f t="shared" si="4"/>
        <v>0</v>
      </c>
      <c r="K25" s="1499">
        <f t="shared" si="4"/>
        <v>0</v>
      </c>
      <c r="L25" s="1499">
        <f t="shared" si="4"/>
        <v>0</v>
      </c>
      <c r="M25" s="1499">
        <f t="shared" si="4"/>
        <v>0</v>
      </c>
      <c r="N25" s="1499">
        <f t="shared" si="4"/>
        <v>0</v>
      </c>
      <c r="O25" s="1499">
        <f t="shared" si="4"/>
        <v>0</v>
      </c>
      <c r="P25" s="1497">
        <f t="shared" si="2"/>
        <v>0</v>
      </c>
      <c r="Q25" s="1500"/>
      <c r="R25" s="1362"/>
    </row>
    <row r="26" spans="1:18" ht="12.75" customHeight="1">
      <c r="A26" s="1363"/>
      <c r="B26" s="1364"/>
      <c r="C26" s="1364"/>
      <c r="D26" s="1364"/>
      <c r="E26" s="1364">
        <v>1</v>
      </c>
      <c r="F26" s="1364" t="s">
        <v>98</v>
      </c>
      <c r="G26" s="1496">
        <f>'P2. Buxheti 2022_2024'!G25</f>
        <v>0</v>
      </c>
      <c r="H26" s="1496">
        <f>'P2. Buxheti 2022_2024'!H25</f>
        <v>0</v>
      </c>
      <c r="I26" s="1496">
        <f>'P2. Buxheti 2022_2024'!I25</f>
        <v>0</v>
      </c>
      <c r="J26" s="1496">
        <f>'P2. Buxheti 2022_2024'!J25</f>
        <v>0</v>
      </c>
      <c r="K26" s="1496">
        <f>'P2. Buxheti 2022_2024'!K25</f>
        <v>0</v>
      </c>
      <c r="L26" s="1496">
        <f>'P2. Buxheti 2022_2024'!L25</f>
        <v>0</v>
      </c>
      <c r="M26" s="1496">
        <f>'P2. Buxheti 2022_2024'!M25</f>
        <v>0</v>
      </c>
      <c r="N26" s="1496">
        <f>'P2. Buxheti 2022_2024'!N25</f>
        <v>0</v>
      </c>
      <c r="O26" s="1496">
        <f>'P2. Buxheti 2022_2024'!O25</f>
        <v>0</v>
      </c>
      <c r="P26" s="1497">
        <f t="shared" si="2"/>
        <v>0</v>
      </c>
      <c r="Q26" s="1498"/>
    </row>
    <row r="27" spans="1:18" ht="12.75" customHeight="1">
      <c r="A27" s="1363"/>
      <c r="B27" s="1364"/>
      <c r="C27" s="1364"/>
      <c r="D27" s="1364"/>
      <c r="E27" s="1364">
        <v>2</v>
      </c>
      <c r="F27" s="1364" t="s">
        <v>99</v>
      </c>
      <c r="G27" s="1496"/>
      <c r="H27" s="1496"/>
      <c r="I27" s="1496"/>
      <c r="J27" s="1496"/>
      <c r="K27" s="1496"/>
      <c r="L27" s="1496"/>
      <c r="M27" s="1496"/>
      <c r="N27" s="1496"/>
      <c r="O27" s="1496"/>
      <c r="P27" s="1497">
        <f t="shared" si="2"/>
        <v>0</v>
      </c>
      <c r="Q27" s="1498"/>
    </row>
    <row r="28" spans="1:18" ht="12.75" customHeight="1">
      <c r="A28" s="1363"/>
      <c r="B28" s="1364"/>
      <c r="C28" s="1364"/>
      <c r="D28" s="1364"/>
      <c r="E28" s="1364">
        <v>3</v>
      </c>
      <c r="F28" s="1364" t="s">
        <v>100</v>
      </c>
      <c r="G28" s="1496">
        <f>'P2. Buxheti 2022_2024'!G27</f>
        <v>0</v>
      </c>
      <c r="H28" s="1496">
        <f>'P2. Buxheti 2022_2024'!H27</f>
        <v>0</v>
      </c>
      <c r="I28" s="1496">
        <f>'P2. Buxheti 2022_2024'!I27</f>
        <v>0</v>
      </c>
      <c r="J28" s="1496">
        <f>'P2. Buxheti 2022_2024'!J27</f>
        <v>0</v>
      </c>
      <c r="K28" s="1496">
        <f>'P2. Buxheti 2022_2024'!K27</f>
        <v>0</v>
      </c>
      <c r="L28" s="1496">
        <f>'P2. Buxheti 2022_2024'!L27</f>
        <v>0</v>
      </c>
      <c r="M28" s="1496">
        <f>'P2. Buxheti 2022_2024'!M27</f>
        <v>0</v>
      </c>
      <c r="N28" s="1496">
        <f>'P2. Buxheti 2022_2024'!N27</f>
        <v>0</v>
      </c>
      <c r="O28" s="1496">
        <f>'P2. Buxheti 2022_2024'!O27</f>
        <v>0</v>
      </c>
      <c r="P28" s="1497">
        <f t="shared" si="2"/>
        <v>0</v>
      </c>
      <c r="Q28" s="1498"/>
    </row>
    <row r="29" spans="1:18" ht="12.75" customHeight="1">
      <c r="A29" s="1363"/>
      <c r="B29" s="1364"/>
      <c r="C29" s="1364"/>
      <c r="D29" s="1364"/>
      <c r="E29" s="1364">
        <v>4</v>
      </c>
      <c r="F29" s="1364" t="s">
        <v>101</v>
      </c>
      <c r="G29" s="1496">
        <f>'P2. Buxheti 2022_2024'!G28</f>
        <v>0</v>
      </c>
      <c r="H29" s="1496">
        <f>'P2. Buxheti 2022_2024'!H28</f>
        <v>0</v>
      </c>
      <c r="I29" s="1496">
        <f>'P2. Buxheti 2022_2024'!I28</f>
        <v>0</v>
      </c>
      <c r="J29" s="1496">
        <f>'P2. Buxheti 2022_2024'!J28</f>
        <v>0</v>
      </c>
      <c r="K29" s="1496">
        <f>'P2. Buxheti 2022_2024'!K28</f>
        <v>0</v>
      </c>
      <c r="L29" s="1496">
        <f>'P2. Buxheti 2022_2024'!L28</f>
        <v>0</v>
      </c>
      <c r="M29" s="1496">
        <f>'P2. Buxheti 2022_2024'!M28</f>
        <v>0</v>
      </c>
      <c r="N29" s="1496">
        <f>'P2. Buxheti 2022_2024'!N28</f>
        <v>0</v>
      </c>
      <c r="O29" s="1496">
        <f>'P2. Buxheti 2022_2024'!O28</f>
        <v>0</v>
      </c>
      <c r="P29" s="1497">
        <f t="shared" si="2"/>
        <v>0</v>
      </c>
      <c r="Q29" s="1498"/>
    </row>
    <row r="30" spans="1:18" ht="12.75" customHeight="1">
      <c r="A30" s="1363"/>
      <c r="B30" s="1364"/>
      <c r="C30" s="1364"/>
      <c r="D30" s="1364"/>
      <c r="E30" s="1364">
        <v>5</v>
      </c>
      <c r="F30" s="1364" t="s">
        <v>102</v>
      </c>
      <c r="G30" s="1496"/>
      <c r="H30" s="1496"/>
      <c r="I30" s="1496"/>
      <c r="J30" s="1496"/>
      <c r="K30" s="1496"/>
      <c r="L30" s="1496"/>
      <c r="M30" s="1496"/>
      <c r="N30" s="1496"/>
      <c r="O30" s="1496"/>
      <c r="P30" s="1497">
        <f t="shared" si="2"/>
        <v>0</v>
      </c>
      <c r="Q30" s="1498"/>
    </row>
    <row r="31" spans="1:18" s="1344" customFormat="1" ht="12.75" customHeight="1">
      <c r="A31" s="1359"/>
      <c r="B31" s="1360"/>
      <c r="C31" s="1360">
        <v>4</v>
      </c>
      <c r="D31" s="1360" t="s">
        <v>950</v>
      </c>
      <c r="E31" s="1360"/>
      <c r="F31" s="1360"/>
      <c r="G31" s="1499">
        <f t="shared" ref="G31:O31" si="5">SUM(G32:G36)</f>
        <v>0</v>
      </c>
      <c r="H31" s="1499">
        <f t="shared" si="5"/>
        <v>0</v>
      </c>
      <c r="I31" s="1499">
        <f t="shared" si="5"/>
        <v>0</v>
      </c>
      <c r="J31" s="1499">
        <f t="shared" si="5"/>
        <v>0</v>
      </c>
      <c r="K31" s="1499">
        <f t="shared" si="5"/>
        <v>0</v>
      </c>
      <c r="L31" s="1499">
        <f t="shared" si="5"/>
        <v>0</v>
      </c>
      <c r="M31" s="1499">
        <f t="shared" si="5"/>
        <v>0</v>
      </c>
      <c r="N31" s="1499">
        <f t="shared" si="5"/>
        <v>0</v>
      </c>
      <c r="O31" s="1499">
        <f t="shared" si="5"/>
        <v>0</v>
      </c>
      <c r="P31" s="1497">
        <f>SUM(G31:O31)</f>
        <v>0</v>
      </c>
      <c r="Q31" s="1500"/>
      <c r="R31" s="1362"/>
    </row>
    <row r="32" spans="1:18" s="1344" customFormat="1" ht="12.75" customHeight="1">
      <c r="A32" s="1365"/>
      <c r="B32" s="1366"/>
      <c r="C32" s="1366"/>
      <c r="D32" s="1364"/>
      <c r="E32" s="1364">
        <v>1</v>
      </c>
      <c r="F32" s="1364" t="s">
        <v>98</v>
      </c>
      <c r="G32" s="1496">
        <f>'P2. Buxheti 2022_2024'!G31</f>
        <v>0</v>
      </c>
      <c r="H32" s="1496">
        <f>'P2. Buxheti 2022_2024'!H31</f>
        <v>0</v>
      </c>
      <c r="I32" s="1496">
        <f>'P2. Buxheti 2022_2024'!I31</f>
        <v>0</v>
      </c>
      <c r="J32" s="1496">
        <f>'P2. Buxheti 2022_2024'!J31</f>
        <v>0</v>
      </c>
      <c r="K32" s="1496">
        <f>'P2. Buxheti 2022_2024'!K31</f>
        <v>0</v>
      </c>
      <c r="L32" s="1496">
        <f>'P2. Buxheti 2022_2024'!L31</f>
        <v>0</v>
      </c>
      <c r="M32" s="1496">
        <f>'P2. Buxheti 2022_2024'!M31</f>
        <v>0</v>
      </c>
      <c r="N32" s="1496">
        <f>'P2. Buxheti 2022_2024'!N31</f>
        <v>0</v>
      </c>
      <c r="O32" s="1496">
        <f>'P2. Buxheti 2022_2024'!O31</f>
        <v>0</v>
      </c>
      <c r="P32" s="1497">
        <f t="shared" si="2"/>
        <v>0</v>
      </c>
      <c r="Q32" s="1500"/>
      <c r="R32" s="1362"/>
    </row>
    <row r="33" spans="1:18" s="1344" customFormat="1" ht="12.75" customHeight="1">
      <c r="A33" s="1365"/>
      <c r="B33" s="1366"/>
      <c r="C33" s="1366"/>
      <c r="D33" s="1364"/>
      <c r="E33" s="1364">
        <v>2</v>
      </c>
      <c r="F33" s="1364" t="s">
        <v>99</v>
      </c>
      <c r="G33" s="1496"/>
      <c r="H33" s="1496"/>
      <c r="I33" s="1496"/>
      <c r="J33" s="1496"/>
      <c r="K33" s="1496"/>
      <c r="L33" s="1496"/>
      <c r="M33" s="1496"/>
      <c r="N33" s="1496"/>
      <c r="O33" s="1496"/>
      <c r="P33" s="1497">
        <f t="shared" si="2"/>
        <v>0</v>
      </c>
      <c r="Q33" s="1500"/>
      <c r="R33" s="1362"/>
    </row>
    <row r="34" spans="1:18" s="1344" customFormat="1" ht="12.75" customHeight="1">
      <c r="A34" s="1365"/>
      <c r="B34" s="1366"/>
      <c r="C34" s="1366"/>
      <c r="D34" s="1364"/>
      <c r="E34" s="1364">
        <v>3</v>
      </c>
      <c r="F34" s="1364" t="s">
        <v>100</v>
      </c>
      <c r="G34" s="1496">
        <f>'P2. Buxheti 2022_2024'!G33</f>
        <v>0</v>
      </c>
      <c r="H34" s="1496">
        <f>'P2. Buxheti 2022_2024'!H33</f>
        <v>0</v>
      </c>
      <c r="I34" s="1496">
        <f>'P2. Buxheti 2022_2024'!I33</f>
        <v>0</v>
      </c>
      <c r="J34" s="1496">
        <f>'P2. Buxheti 2022_2024'!J33</f>
        <v>0</v>
      </c>
      <c r="K34" s="1496">
        <f>'P2. Buxheti 2022_2024'!K33</f>
        <v>0</v>
      </c>
      <c r="L34" s="1496">
        <f>'P2. Buxheti 2022_2024'!L33</f>
        <v>0</v>
      </c>
      <c r="M34" s="1496">
        <f>'P2. Buxheti 2022_2024'!M33</f>
        <v>0</v>
      </c>
      <c r="N34" s="1496">
        <f>'P2. Buxheti 2022_2024'!N33</f>
        <v>0</v>
      </c>
      <c r="O34" s="1496">
        <f>'P2. Buxheti 2022_2024'!O33</f>
        <v>0</v>
      </c>
      <c r="P34" s="1497">
        <f t="shared" si="2"/>
        <v>0</v>
      </c>
      <c r="Q34" s="1500"/>
      <c r="R34" s="1362"/>
    </row>
    <row r="35" spans="1:18" s="1344" customFormat="1" ht="12.75" customHeight="1">
      <c r="A35" s="1365"/>
      <c r="B35" s="1366"/>
      <c r="C35" s="1366"/>
      <c r="D35" s="1364"/>
      <c r="E35" s="1364">
        <v>4</v>
      </c>
      <c r="F35" s="1364" t="s">
        <v>101</v>
      </c>
      <c r="G35" s="1496">
        <f>'P2. Buxheti 2022_2024'!G34</f>
        <v>0</v>
      </c>
      <c r="H35" s="1496">
        <f>'P2. Buxheti 2022_2024'!H34</f>
        <v>0</v>
      </c>
      <c r="I35" s="1496">
        <f>'P2. Buxheti 2022_2024'!I34</f>
        <v>0</v>
      </c>
      <c r="J35" s="1496">
        <f>'P2. Buxheti 2022_2024'!J34</f>
        <v>0</v>
      </c>
      <c r="K35" s="1496">
        <f>'P2. Buxheti 2022_2024'!K34</f>
        <v>0</v>
      </c>
      <c r="L35" s="1496">
        <f>'P2. Buxheti 2022_2024'!L34</f>
        <v>0</v>
      </c>
      <c r="M35" s="1496">
        <f>'P2. Buxheti 2022_2024'!M34</f>
        <v>0</v>
      </c>
      <c r="N35" s="1496">
        <f>'P2. Buxheti 2022_2024'!N34</f>
        <v>0</v>
      </c>
      <c r="O35" s="1496">
        <f>'P2. Buxheti 2022_2024'!O34</f>
        <v>0</v>
      </c>
      <c r="P35" s="1497">
        <f t="shared" si="2"/>
        <v>0</v>
      </c>
      <c r="Q35" s="1500"/>
      <c r="R35" s="1362"/>
    </row>
    <row r="36" spans="1:18" ht="12.75" customHeight="1">
      <c r="A36" s="1367"/>
      <c r="B36" s="1368"/>
      <c r="C36" s="1368"/>
      <c r="D36" s="1368"/>
      <c r="E36" s="1368">
        <v>5</v>
      </c>
      <c r="F36" s="1369" t="s">
        <v>102</v>
      </c>
      <c r="G36" s="1496"/>
      <c r="H36" s="1496"/>
      <c r="I36" s="1496"/>
      <c r="J36" s="1496"/>
      <c r="K36" s="1496"/>
      <c r="L36" s="1496"/>
      <c r="M36" s="1496"/>
      <c r="N36" s="1496"/>
      <c r="O36" s="1496"/>
      <c r="P36" s="1497">
        <f t="shared" si="2"/>
        <v>0</v>
      </c>
      <c r="Q36" s="1498"/>
    </row>
    <row r="37" spans="1:18" s="1344" customFormat="1" ht="12.75" customHeight="1">
      <c r="A37" s="1370"/>
      <c r="B37" s="1371"/>
      <c r="C37" s="1371">
        <v>5</v>
      </c>
      <c r="D37" s="1371" t="s">
        <v>990</v>
      </c>
      <c r="E37" s="1371"/>
      <c r="F37" s="1371"/>
      <c r="G37" s="1499">
        <f t="shared" ref="G37:O37" si="6">SUM(G38:G42)</f>
        <v>0</v>
      </c>
      <c r="H37" s="1499">
        <f t="shared" si="6"/>
        <v>0</v>
      </c>
      <c r="I37" s="1499">
        <f t="shared" si="6"/>
        <v>0</v>
      </c>
      <c r="J37" s="1499">
        <f t="shared" si="6"/>
        <v>0</v>
      </c>
      <c r="K37" s="1499">
        <f t="shared" si="6"/>
        <v>0</v>
      </c>
      <c r="L37" s="1499">
        <f t="shared" si="6"/>
        <v>0</v>
      </c>
      <c r="M37" s="1499">
        <f t="shared" si="6"/>
        <v>0</v>
      </c>
      <c r="N37" s="1499">
        <f t="shared" si="6"/>
        <v>0</v>
      </c>
      <c r="O37" s="1499">
        <f t="shared" si="6"/>
        <v>0</v>
      </c>
      <c r="P37" s="1497">
        <f t="shared" si="2"/>
        <v>0</v>
      </c>
      <c r="Q37" s="1500"/>
      <c r="R37" s="1362"/>
    </row>
    <row r="38" spans="1:18" s="1344" customFormat="1" ht="12.75" customHeight="1">
      <c r="A38" s="1365"/>
      <c r="B38" s="1366"/>
      <c r="C38" s="1366"/>
      <c r="D38" s="1364"/>
      <c r="E38" s="1364">
        <v>1</v>
      </c>
      <c r="F38" s="1364" t="s">
        <v>98</v>
      </c>
      <c r="G38" s="1496">
        <f>'P2. Buxheti 2022_2024'!G37</f>
        <v>0</v>
      </c>
      <c r="H38" s="1496">
        <f>'P2. Buxheti 2022_2024'!H37</f>
        <v>0</v>
      </c>
      <c r="I38" s="1496">
        <f>'P2. Buxheti 2022_2024'!I37</f>
        <v>0</v>
      </c>
      <c r="J38" s="1496">
        <f>'P2. Buxheti 2022_2024'!J37</f>
        <v>0</v>
      </c>
      <c r="K38" s="1496">
        <f>'P2. Buxheti 2022_2024'!K37</f>
        <v>0</v>
      </c>
      <c r="L38" s="1496">
        <f>'P2. Buxheti 2022_2024'!L37</f>
        <v>0</v>
      </c>
      <c r="M38" s="1496">
        <f>'P2. Buxheti 2022_2024'!M37</f>
        <v>0</v>
      </c>
      <c r="N38" s="1496">
        <f>'P2. Buxheti 2022_2024'!N37</f>
        <v>0</v>
      </c>
      <c r="O38" s="1496">
        <f>'P2. Buxheti 2022_2024'!O37</f>
        <v>0</v>
      </c>
      <c r="P38" s="1497">
        <f t="shared" si="2"/>
        <v>0</v>
      </c>
      <c r="Q38" s="1500"/>
      <c r="R38" s="1362"/>
    </row>
    <row r="39" spans="1:18" s="1344" customFormat="1" ht="12.75" customHeight="1">
      <c r="A39" s="1365"/>
      <c r="B39" s="1366"/>
      <c r="C39" s="1366"/>
      <c r="D39" s="1364"/>
      <c r="E39" s="1364">
        <v>2</v>
      </c>
      <c r="F39" s="1364" t="s">
        <v>99</v>
      </c>
      <c r="G39" s="1496"/>
      <c r="H39" s="1496"/>
      <c r="I39" s="1496"/>
      <c r="J39" s="1496"/>
      <c r="K39" s="1496"/>
      <c r="L39" s="1496"/>
      <c r="M39" s="1496"/>
      <c r="N39" s="1496"/>
      <c r="O39" s="1496"/>
      <c r="P39" s="1497">
        <f t="shared" si="2"/>
        <v>0</v>
      </c>
      <c r="Q39" s="1500"/>
      <c r="R39" s="1362"/>
    </row>
    <row r="40" spans="1:18" s="1344" customFormat="1" ht="12.75" customHeight="1">
      <c r="A40" s="1365"/>
      <c r="B40" s="1366"/>
      <c r="C40" s="1366"/>
      <c r="D40" s="1364"/>
      <c r="E40" s="1364">
        <v>3</v>
      </c>
      <c r="F40" s="1364" t="s">
        <v>100</v>
      </c>
      <c r="G40" s="1496">
        <f>'P2. Buxheti 2022_2024'!G39</f>
        <v>0</v>
      </c>
      <c r="H40" s="1496">
        <f>'P2. Buxheti 2022_2024'!H39</f>
        <v>0</v>
      </c>
      <c r="I40" s="1496">
        <f>'P2. Buxheti 2022_2024'!I39</f>
        <v>0</v>
      </c>
      <c r="J40" s="1496">
        <f>'P2. Buxheti 2022_2024'!J39</f>
        <v>0</v>
      </c>
      <c r="K40" s="1496">
        <f>'P2. Buxheti 2022_2024'!K39</f>
        <v>0</v>
      </c>
      <c r="L40" s="1496">
        <f>'P2. Buxheti 2022_2024'!L39</f>
        <v>0</v>
      </c>
      <c r="M40" s="1496">
        <f>'P2. Buxheti 2022_2024'!M39</f>
        <v>0</v>
      </c>
      <c r="N40" s="1496">
        <f>'P2. Buxheti 2022_2024'!N39</f>
        <v>0</v>
      </c>
      <c r="O40" s="1496">
        <f>'P2. Buxheti 2022_2024'!O39</f>
        <v>0</v>
      </c>
      <c r="P40" s="1497">
        <f t="shared" si="2"/>
        <v>0</v>
      </c>
      <c r="Q40" s="1500"/>
      <c r="R40" s="1362"/>
    </row>
    <row r="41" spans="1:18" s="1344" customFormat="1" ht="12.75" customHeight="1">
      <c r="A41" s="1365"/>
      <c r="B41" s="1366"/>
      <c r="C41" s="1366"/>
      <c r="D41" s="1364"/>
      <c r="E41" s="1364">
        <v>4</v>
      </c>
      <c r="F41" s="1364" t="s">
        <v>101</v>
      </c>
      <c r="G41" s="1496">
        <f>'P2. Buxheti 2022_2024'!G40</f>
        <v>0</v>
      </c>
      <c r="H41" s="1496">
        <f>'P2. Buxheti 2022_2024'!H40</f>
        <v>0</v>
      </c>
      <c r="I41" s="1496">
        <f>'P2. Buxheti 2022_2024'!I40</f>
        <v>0</v>
      </c>
      <c r="J41" s="1496">
        <f>'P2. Buxheti 2022_2024'!J40</f>
        <v>0</v>
      </c>
      <c r="K41" s="1496">
        <f>'P2. Buxheti 2022_2024'!K40</f>
        <v>0</v>
      </c>
      <c r="L41" s="1496">
        <f>'P2. Buxheti 2022_2024'!L40</f>
        <v>0</v>
      </c>
      <c r="M41" s="1496">
        <f>'P2. Buxheti 2022_2024'!M40</f>
        <v>0</v>
      </c>
      <c r="N41" s="1496">
        <f>'P2. Buxheti 2022_2024'!N40</f>
        <v>0</v>
      </c>
      <c r="O41" s="1496">
        <f>'P2. Buxheti 2022_2024'!O40</f>
        <v>0</v>
      </c>
      <c r="P41" s="1497">
        <f t="shared" si="2"/>
        <v>0</v>
      </c>
      <c r="Q41" s="1500"/>
      <c r="R41" s="1362"/>
    </row>
    <row r="42" spans="1:18" ht="12.75" customHeight="1">
      <c r="A42" s="1367"/>
      <c r="B42" s="1368"/>
      <c r="C42" s="1368"/>
      <c r="D42" s="1368"/>
      <c r="E42" s="1368">
        <v>5</v>
      </c>
      <c r="F42" s="1369" t="s">
        <v>102</v>
      </c>
      <c r="G42" s="1496"/>
      <c r="H42" s="1496"/>
      <c r="I42" s="1496"/>
      <c r="J42" s="1496"/>
      <c r="K42" s="1496"/>
      <c r="L42" s="1496"/>
      <c r="M42" s="1496"/>
      <c r="N42" s="1496"/>
      <c r="O42" s="1496"/>
      <c r="P42" s="1497">
        <f t="shared" si="2"/>
        <v>0</v>
      </c>
      <c r="Q42" s="1498"/>
    </row>
    <row r="43" spans="1:18" s="1344" customFormat="1" ht="12.75" customHeight="1">
      <c r="A43" s="1370"/>
      <c r="B43" s="1371"/>
      <c r="C43" s="1371">
        <v>6</v>
      </c>
      <c r="D43" s="1371" t="s">
        <v>991</v>
      </c>
      <c r="E43" s="1371"/>
      <c r="F43" s="1371"/>
      <c r="G43" s="1499">
        <f t="shared" ref="G43:O43" si="7">SUM(G44:G48)</f>
        <v>11167</v>
      </c>
      <c r="H43" s="1499">
        <f t="shared" si="7"/>
        <v>1865</v>
      </c>
      <c r="I43" s="1499">
        <f t="shared" si="7"/>
        <v>4165</v>
      </c>
      <c r="J43" s="1499">
        <f t="shared" si="7"/>
        <v>0</v>
      </c>
      <c r="K43" s="1499">
        <f t="shared" si="7"/>
        <v>0</v>
      </c>
      <c r="L43" s="1499">
        <f t="shared" si="7"/>
        <v>5500</v>
      </c>
      <c r="M43" s="1499">
        <f t="shared" si="7"/>
        <v>0</v>
      </c>
      <c r="N43" s="1499">
        <f t="shared" si="7"/>
        <v>1700</v>
      </c>
      <c r="O43" s="1499">
        <f t="shared" si="7"/>
        <v>0</v>
      </c>
      <c r="P43" s="1497">
        <f t="shared" si="2"/>
        <v>24397</v>
      </c>
      <c r="Q43" s="1500"/>
      <c r="R43" s="1362"/>
    </row>
    <row r="44" spans="1:18" s="1344" customFormat="1" ht="12.75" customHeight="1">
      <c r="A44" s="1365"/>
      <c r="B44" s="1366"/>
      <c r="C44" s="1366"/>
      <c r="D44" s="1364"/>
      <c r="E44" s="1364">
        <v>1</v>
      </c>
      <c r="F44" s="1364" t="s">
        <v>98</v>
      </c>
      <c r="G44" s="1496">
        <v>11167</v>
      </c>
      <c r="H44" s="1496">
        <v>1865</v>
      </c>
      <c r="I44" s="1496">
        <v>4165</v>
      </c>
      <c r="J44" s="1496">
        <f>'P2. Buxheti 2022_2024'!J43</f>
        <v>0</v>
      </c>
      <c r="K44" s="1496">
        <f>'P2. Buxheti 2022_2024'!K43</f>
        <v>0</v>
      </c>
      <c r="L44" s="1496">
        <v>5500</v>
      </c>
      <c r="M44" s="1496">
        <f>'P2. Buxheti 2022_2024'!M43</f>
        <v>0</v>
      </c>
      <c r="N44" s="1496">
        <v>1700</v>
      </c>
      <c r="O44" s="1496">
        <f>'P2. Buxheti 2022_2024'!O43</f>
        <v>0</v>
      </c>
      <c r="P44" s="1497">
        <f t="shared" si="2"/>
        <v>24397</v>
      </c>
      <c r="Q44" s="1500"/>
      <c r="R44" s="1362"/>
    </row>
    <row r="45" spans="1:18" s="1344" customFormat="1" ht="12.75" customHeight="1">
      <c r="A45" s="1365"/>
      <c r="B45" s="1366"/>
      <c r="C45" s="1366"/>
      <c r="D45" s="1364"/>
      <c r="E45" s="1364">
        <v>2</v>
      </c>
      <c r="F45" s="1364" t="s">
        <v>99</v>
      </c>
      <c r="G45" s="1496"/>
      <c r="H45" s="1496"/>
      <c r="I45" s="1496"/>
      <c r="J45" s="1496"/>
      <c r="K45" s="1496"/>
      <c r="L45" s="1496"/>
      <c r="M45" s="1496"/>
      <c r="N45" s="1496"/>
      <c r="O45" s="1496"/>
      <c r="P45" s="1497">
        <f t="shared" si="2"/>
        <v>0</v>
      </c>
      <c r="Q45" s="1500"/>
      <c r="R45" s="1362"/>
    </row>
    <row r="46" spans="1:18" s="1344" customFormat="1" ht="12.75" customHeight="1">
      <c r="A46" s="1365"/>
      <c r="B46" s="1366"/>
      <c r="C46" s="1366"/>
      <c r="D46" s="1364"/>
      <c r="E46" s="1364">
        <v>3</v>
      </c>
      <c r="F46" s="1364" t="s">
        <v>100</v>
      </c>
      <c r="G46" s="1496">
        <f>'P2. Buxheti 2022_2024'!G45</f>
        <v>0</v>
      </c>
      <c r="H46" s="1496">
        <f>'P2. Buxheti 2022_2024'!H45</f>
        <v>0</v>
      </c>
      <c r="I46" s="1496">
        <f>'P2. Buxheti 2022_2024'!I45</f>
        <v>0</v>
      </c>
      <c r="J46" s="1496">
        <f>'P2. Buxheti 2022_2024'!J45</f>
        <v>0</v>
      </c>
      <c r="K46" s="1496">
        <f>'P2. Buxheti 2022_2024'!K45</f>
        <v>0</v>
      </c>
      <c r="L46" s="1496">
        <f>'P2. Buxheti 2022_2024'!L45</f>
        <v>0</v>
      </c>
      <c r="M46" s="1496">
        <f>'P2. Buxheti 2022_2024'!M45</f>
        <v>0</v>
      </c>
      <c r="N46" s="1496">
        <f>'P2. Buxheti 2022_2024'!N45</f>
        <v>0</v>
      </c>
      <c r="O46" s="1496">
        <f>'P2. Buxheti 2022_2024'!O45</f>
        <v>0</v>
      </c>
      <c r="P46" s="1497">
        <f t="shared" si="2"/>
        <v>0</v>
      </c>
      <c r="Q46" s="1500"/>
      <c r="R46" s="1362"/>
    </row>
    <row r="47" spans="1:18" s="1344" customFormat="1" ht="12.75" customHeight="1">
      <c r="A47" s="1365"/>
      <c r="B47" s="1366"/>
      <c r="C47" s="1366"/>
      <c r="D47" s="1364"/>
      <c r="E47" s="1364">
        <v>4</v>
      </c>
      <c r="F47" s="1364" t="s">
        <v>101</v>
      </c>
      <c r="G47" s="1496">
        <f>'P2. Buxheti 2022_2024'!G46</f>
        <v>0</v>
      </c>
      <c r="H47" s="1496">
        <f>'P2. Buxheti 2022_2024'!H46</f>
        <v>0</v>
      </c>
      <c r="I47" s="1496">
        <f>'P2. Buxheti 2022_2024'!I46</f>
        <v>0</v>
      </c>
      <c r="J47" s="1496">
        <f>'P2. Buxheti 2022_2024'!J46</f>
        <v>0</v>
      </c>
      <c r="K47" s="1496">
        <f>'P2. Buxheti 2022_2024'!K46</f>
        <v>0</v>
      </c>
      <c r="L47" s="1496">
        <f>'P2. Buxheti 2022_2024'!L46</f>
        <v>0</v>
      </c>
      <c r="M47" s="1496">
        <f>'P2. Buxheti 2022_2024'!M46</f>
        <v>0</v>
      </c>
      <c r="N47" s="1496">
        <f>'P2. Buxheti 2022_2024'!N46</f>
        <v>0</v>
      </c>
      <c r="O47" s="1496">
        <f>'P2. Buxheti 2022_2024'!O46</f>
        <v>0</v>
      </c>
      <c r="P47" s="1497">
        <f t="shared" si="2"/>
        <v>0</v>
      </c>
      <c r="Q47" s="1500"/>
      <c r="R47" s="1362"/>
    </row>
    <row r="48" spans="1:18" ht="12.75" customHeight="1">
      <c r="A48" s="1367"/>
      <c r="B48" s="1368"/>
      <c r="C48" s="1368"/>
      <c r="D48" s="1368"/>
      <c r="E48" s="1368">
        <v>5</v>
      </c>
      <c r="F48" s="1369" t="s">
        <v>102</v>
      </c>
      <c r="G48" s="1496"/>
      <c r="H48" s="1496"/>
      <c r="I48" s="1496"/>
      <c r="J48" s="1496"/>
      <c r="K48" s="1496"/>
      <c r="L48" s="1496"/>
      <c r="M48" s="1496"/>
      <c r="N48" s="1496"/>
      <c r="O48" s="1496"/>
      <c r="P48" s="1497">
        <f t="shared" si="2"/>
        <v>0</v>
      </c>
      <c r="Q48" s="1501"/>
    </row>
    <row r="49" spans="6:17" ht="12.75" customHeight="1">
      <c r="G49" s="1502"/>
      <c r="H49" s="1502"/>
      <c r="I49" s="1502"/>
      <c r="J49" s="1502"/>
      <c r="K49" s="1502"/>
      <c r="L49" s="1502"/>
      <c r="M49" s="1502"/>
      <c r="N49" s="1502"/>
      <c r="O49" s="1502"/>
      <c r="P49" s="1502"/>
      <c r="Q49" s="1502"/>
    </row>
    <row r="50" spans="6:17" ht="12.75" customHeight="1">
      <c r="F50" s="1789" t="s">
        <v>146</v>
      </c>
      <c r="G50" s="1372" t="s">
        <v>144</v>
      </c>
      <c r="H50" s="1372" t="s">
        <v>1044</v>
      </c>
      <c r="I50" s="1372"/>
      <c r="J50" s="1335"/>
      <c r="K50" s="1792" t="s">
        <v>240</v>
      </c>
      <c r="L50" s="1372" t="s">
        <v>144</v>
      </c>
      <c r="M50" s="1372" t="s">
        <v>1045</v>
      </c>
      <c r="N50" s="1372"/>
      <c r="O50" s="1335"/>
      <c r="P50" s="1335">
        <f>[3]Tab_1_Të_Ardhura!I38</f>
        <v>0</v>
      </c>
    </row>
    <row r="51" spans="6:17" ht="12.75" customHeight="1">
      <c r="F51" s="1790"/>
      <c r="G51" s="1372" t="s">
        <v>239</v>
      </c>
      <c r="H51" s="1372"/>
      <c r="I51" s="1372"/>
      <c r="J51" s="1335"/>
      <c r="K51" s="1792"/>
      <c r="L51" s="1372" t="s">
        <v>239</v>
      </c>
      <c r="M51" s="1372"/>
      <c r="N51" s="1372"/>
      <c r="O51" s="1335"/>
      <c r="P51" s="1335"/>
    </row>
    <row r="52" spans="6:17" ht="12.75" customHeight="1">
      <c r="F52" s="1791"/>
      <c r="G52" s="1372" t="s">
        <v>145</v>
      </c>
      <c r="H52" s="1372"/>
      <c r="I52" s="1372"/>
      <c r="J52" s="1335"/>
      <c r="K52" s="1792"/>
      <c r="L52" s="1372" t="s">
        <v>145</v>
      </c>
      <c r="M52" s="1372"/>
      <c r="N52" s="1372"/>
      <c r="O52" s="1335"/>
      <c r="P52" s="1335">
        <f>P48-P50</f>
        <v>0</v>
      </c>
    </row>
    <row r="53" spans="6:17" ht="12.75" customHeight="1">
      <c r="F53" s="1373"/>
      <c r="G53" s="1374"/>
      <c r="H53" s="1374"/>
      <c r="I53" s="1374"/>
      <c r="K53" s="1375"/>
      <c r="L53" s="1374"/>
      <c r="M53" s="1374"/>
      <c r="N53" s="1374"/>
    </row>
  </sheetData>
  <mergeCells count="5">
    <mergeCell ref="A4:F4"/>
    <mergeCell ref="H6:K6"/>
    <mergeCell ref="Q10:Q11"/>
    <mergeCell ref="F50:F52"/>
    <mergeCell ref="K50:K52"/>
  </mergeCells>
  <pageMargins left="0.33" right="0.17" top="0.35" bottom="0.42" header="0.18" footer="0.38"/>
  <pageSetup scale="74"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U106"/>
  <sheetViews>
    <sheetView showGridLines="0" zoomScale="70" zoomScaleNormal="70" workbookViewId="0">
      <pane xSplit="2" ySplit="11" topLeftCell="C78" activePane="bottomRight" state="frozen"/>
      <selection activeCell="Q50" sqref="Q50"/>
      <selection pane="topRight" activeCell="Q50" sqref="Q50"/>
      <selection pane="bottomLeft" activeCell="Q50" sqref="Q50"/>
      <selection pane="bottomRight" activeCell="I55" sqref="I55"/>
    </sheetView>
  </sheetViews>
  <sheetFormatPr defaultColWidth="9.140625" defaultRowHeight="15" customHeight="1"/>
  <cols>
    <col min="1" max="1" width="6.140625" style="1177" customWidth="1"/>
    <col min="2" max="2" width="46.5703125" style="1177" customWidth="1"/>
    <col min="3" max="3" width="12.28515625" style="1177" customWidth="1"/>
    <col min="4" max="4" width="13.85546875" style="1177" customWidth="1"/>
    <col min="5" max="5" width="16" style="1177" customWidth="1"/>
    <col min="6" max="6" width="13" style="1177" customWidth="1"/>
    <col min="7" max="7" width="13.42578125" style="1177" customWidth="1"/>
    <col min="8" max="8" width="13.85546875" style="1177" customWidth="1"/>
    <col min="9" max="9" width="13.5703125" style="1177" customWidth="1"/>
    <col min="10" max="10" width="13.7109375" style="1177" customWidth="1"/>
    <col min="11" max="11" width="13.140625" style="1177" customWidth="1"/>
    <col min="12" max="12" width="13.5703125" style="1177" customWidth="1"/>
    <col min="13" max="13" width="13.140625" style="1177" customWidth="1"/>
    <col min="14" max="14" width="12.7109375" style="1177" customWidth="1"/>
    <col min="15" max="15" width="15.5703125" style="1177" customWidth="1"/>
    <col min="16" max="16" width="11.28515625" style="1178" customWidth="1"/>
    <col min="17" max="17" width="19.28515625" style="1178" customWidth="1"/>
    <col min="18" max="256" width="9.140625" style="1178"/>
    <col min="257" max="257" width="6.140625" style="1178" customWidth="1"/>
    <col min="258" max="258" width="46.5703125" style="1178" customWidth="1"/>
    <col min="259" max="259" width="12.28515625" style="1178" customWidth="1"/>
    <col min="260" max="260" width="13.85546875" style="1178" customWidth="1"/>
    <col min="261" max="261" width="16" style="1178" customWidth="1"/>
    <col min="262" max="262" width="13" style="1178" customWidth="1"/>
    <col min="263" max="263" width="13.42578125" style="1178" customWidth="1"/>
    <col min="264" max="264" width="13.85546875" style="1178" customWidth="1"/>
    <col min="265" max="265" width="13.5703125" style="1178" customWidth="1"/>
    <col min="266" max="266" width="13.7109375" style="1178" customWidth="1"/>
    <col min="267" max="267" width="13.140625" style="1178" customWidth="1"/>
    <col min="268" max="268" width="13.5703125" style="1178" customWidth="1"/>
    <col min="269" max="269" width="13.140625" style="1178" customWidth="1"/>
    <col min="270" max="270" width="12.7109375" style="1178" customWidth="1"/>
    <col min="271" max="271" width="15.5703125" style="1178" customWidth="1"/>
    <col min="272" max="272" width="10.5703125" style="1178" customWidth="1"/>
    <col min="273" max="273" width="19.28515625" style="1178" customWidth="1"/>
    <col min="274" max="512" width="9.140625" style="1178"/>
    <col min="513" max="513" width="6.140625" style="1178" customWidth="1"/>
    <col min="514" max="514" width="46.5703125" style="1178" customWidth="1"/>
    <col min="515" max="515" width="12.28515625" style="1178" customWidth="1"/>
    <col min="516" max="516" width="13.85546875" style="1178" customWidth="1"/>
    <col min="517" max="517" width="16" style="1178" customWidth="1"/>
    <col min="518" max="518" width="13" style="1178" customWidth="1"/>
    <col min="519" max="519" width="13.42578125" style="1178" customWidth="1"/>
    <col min="520" max="520" width="13.85546875" style="1178" customWidth="1"/>
    <col min="521" max="521" width="13.5703125" style="1178" customWidth="1"/>
    <col min="522" max="522" width="13.7109375" style="1178" customWidth="1"/>
    <col min="523" max="523" width="13.140625" style="1178" customWidth="1"/>
    <col min="524" max="524" width="13.5703125" style="1178" customWidth="1"/>
    <col min="525" max="525" width="13.140625" style="1178" customWidth="1"/>
    <col min="526" max="526" width="12.7109375" style="1178" customWidth="1"/>
    <col min="527" max="527" width="15.5703125" style="1178" customWidth="1"/>
    <col min="528" max="528" width="10.5703125" style="1178" customWidth="1"/>
    <col min="529" max="529" width="19.28515625" style="1178" customWidth="1"/>
    <col min="530" max="768" width="9.140625" style="1178"/>
    <col min="769" max="769" width="6.140625" style="1178" customWidth="1"/>
    <col min="770" max="770" width="46.5703125" style="1178" customWidth="1"/>
    <col min="771" max="771" width="12.28515625" style="1178" customWidth="1"/>
    <col min="772" max="772" width="13.85546875" style="1178" customWidth="1"/>
    <col min="773" max="773" width="16" style="1178" customWidth="1"/>
    <col min="774" max="774" width="13" style="1178" customWidth="1"/>
    <col min="775" max="775" width="13.42578125" style="1178" customWidth="1"/>
    <col min="776" max="776" width="13.85546875" style="1178" customWidth="1"/>
    <col min="777" max="777" width="13.5703125" style="1178" customWidth="1"/>
    <col min="778" max="778" width="13.7109375" style="1178" customWidth="1"/>
    <col min="779" max="779" width="13.140625" style="1178" customWidth="1"/>
    <col min="780" max="780" width="13.5703125" style="1178" customWidth="1"/>
    <col min="781" max="781" width="13.140625" style="1178" customWidth="1"/>
    <col min="782" max="782" width="12.7109375" style="1178" customWidth="1"/>
    <col min="783" max="783" width="15.5703125" style="1178" customWidth="1"/>
    <col min="784" max="784" width="10.5703125" style="1178" customWidth="1"/>
    <col min="785" max="785" width="19.28515625" style="1178" customWidth="1"/>
    <col min="786" max="1024" width="9.140625" style="1178"/>
    <col min="1025" max="1025" width="6.140625" style="1178" customWidth="1"/>
    <col min="1026" max="1026" width="46.5703125" style="1178" customWidth="1"/>
    <col min="1027" max="1027" width="12.28515625" style="1178" customWidth="1"/>
    <col min="1028" max="1028" width="13.85546875" style="1178" customWidth="1"/>
    <col min="1029" max="1029" width="16" style="1178" customWidth="1"/>
    <col min="1030" max="1030" width="13" style="1178" customWidth="1"/>
    <col min="1031" max="1031" width="13.42578125" style="1178" customWidth="1"/>
    <col min="1032" max="1032" width="13.85546875" style="1178" customWidth="1"/>
    <col min="1033" max="1033" width="13.5703125" style="1178" customWidth="1"/>
    <col min="1034" max="1034" width="13.7109375" style="1178" customWidth="1"/>
    <col min="1035" max="1035" width="13.140625" style="1178" customWidth="1"/>
    <col min="1036" max="1036" width="13.5703125" style="1178" customWidth="1"/>
    <col min="1037" max="1037" width="13.140625" style="1178" customWidth="1"/>
    <col min="1038" max="1038" width="12.7109375" style="1178" customWidth="1"/>
    <col min="1039" max="1039" width="15.5703125" style="1178" customWidth="1"/>
    <col min="1040" max="1040" width="10.5703125" style="1178" customWidth="1"/>
    <col min="1041" max="1041" width="19.28515625" style="1178" customWidth="1"/>
    <col min="1042" max="1280" width="9.140625" style="1178"/>
    <col min="1281" max="1281" width="6.140625" style="1178" customWidth="1"/>
    <col min="1282" max="1282" width="46.5703125" style="1178" customWidth="1"/>
    <col min="1283" max="1283" width="12.28515625" style="1178" customWidth="1"/>
    <col min="1284" max="1284" width="13.85546875" style="1178" customWidth="1"/>
    <col min="1285" max="1285" width="16" style="1178" customWidth="1"/>
    <col min="1286" max="1286" width="13" style="1178" customWidth="1"/>
    <col min="1287" max="1287" width="13.42578125" style="1178" customWidth="1"/>
    <col min="1288" max="1288" width="13.85546875" style="1178" customWidth="1"/>
    <col min="1289" max="1289" width="13.5703125" style="1178" customWidth="1"/>
    <col min="1290" max="1290" width="13.7109375" style="1178" customWidth="1"/>
    <col min="1291" max="1291" width="13.140625" style="1178" customWidth="1"/>
    <col min="1292" max="1292" width="13.5703125" style="1178" customWidth="1"/>
    <col min="1293" max="1293" width="13.140625" style="1178" customWidth="1"/>
    <col min="1294" max="1294" width="12.7109375" style="1178" customWidth="1"/>
    <col min="1295" max="1295" width="15.5703125" style="1178" customWidth="1"/>
    <col min="1296" max="1296" width="10.5703125" style="1178" customWidth="1"/>
    <col min="1297" max="1297" width="19.28515625" style="1178" customWidth="1"/>
    <col min="1298" max="1536" width="9.140625" style="1178"/>
    <col min="1537" max="1537" width="6.140625" style="1178" customWidth="1"/>
    <col min="1538" max="1538" width="46.5703125" style="1178" customWidth="1"/>
    <col min="1539" max="1539" width="12.28515625" style="1178" customWidth="1"/>
    <col min="1540" max="1540" width="13.85546875" style="1178" customWidth="1"/>
    <col min="1541" max="1541" width="16" style="1178" customWidth="1"/>
    <col min="1542" max="1542" width="13" style="1178" customWidth="1"/>
    <col min="1543" max="1543" width="13.42578125" style="1178" customWidth="1"/>
    <col min="1544" max="1544" width="13.85546875" style="1178" customWidth="1"/>
    <col min="1545" max="1545" width="13.5703125" style="1178" customWidth="1"/>
    <col min="1546" max="1546" width="13.7109375" style="1178" customWidth="1"/>
    <col min="1547" max="1547" width="13.140625" style="1178" customWidth="1"/>
    <col min="1548" max="1548" width="13.5703125" style="1178" customWidth="1"/>
    <col min="1549" max="1549" width="13.140625" style="1178" customWidth="1"/>
    <col min="1550" max="1550" width="12.7109375" style="1178" customWidth="1"/>
    <col min="1551" max="1551" width="15.5703125" style="1178" customWidth="1"/>
    <col min="1552" max="1552" width="10.5703125" style="1178" customWidth="1"/>
    <col min="1553" max="1553" width="19.28515625" style="1178" customWidth="1"/>
    <col min="1554" max="1792" width="9.140625" style="1178"/>
    <col min="1793" max="1793" width="6.140625" style="1178" customWidth="1"/>
    <col min="1794" max="1794" width="46.5703125" style="1178" customWidth="1"/>
    <col min="1795" max="1795" width="12.28515625" style="1178" customWidth="1"/>
    <col min="1796" max="1796" width="13.85546875" style="1178" customWidth="1"/>
    <col min="1797" max="1797" width="16" style="1178" customWidth="1"/>
    <col min="1798" max="1798" width="13" style="1178" customWidth="1"/>
    <col min="1799" max="1799" width="13.42578125" style="1178" customWidth="1"/>
    <col min="1800" max="1800" width="13.85546875" style="1178" customWidth="1"/>
    <col min="1801" max="1801" width="13.5703125" style="1178" customWidth="1"/>
    <col min="1802" max="1802" width="13.7109375" style="1178" customWidth="1"/>
    <col min="1803" max="1803" width="13.140625" style="1178" customWidth="1"/>
    <col min="1804" max="1804" width="13.5703125" style="1178" customWidth="1"/>
    <col min="1805" max="1805" width="13.140625" style="1178" customWidth="1"/>
    <col min="1806" max="1806" width="12.7109375" style="1178" customWidth="1"/>
    <col min="1807" max="1807" width="15.5703125" style="1178" customWidth="1"/>
    <col min="1808" max="1808" width="10.5703125" style="1178" customWidth="1"/>
    <col min="1809" max="1809" width="19.28515625" style="1178" customWidth="1"/>
    <col min="1810" max="2048" width="9.140625" style="1178"/>
    <col min="2049" max="2049" width="6.140625" style="1178" customWidth="1"/>
    <col min="2050" max="2050" width="46.5703125" style="1178" customWidth="1"/>
    <col min="2051" max="2051" width="12.28515625" style="1178" customWidth="1"/>
    <col min="2052" max="2052" width="13.85546875" style="1178" customWidth="1"/>
    <col min="2053" max="2053" width="16" style="1178" customWidth="1"/>
    <col min="2054" max="2054" width="13" style="1178" customWidth="1"/>
    <col min="2055" max="2055" width="13.42578125" style="1178" customWidth="1"/>
    <col min="2056" max="2056" width="13.85546875" style="1178" customWidth="1"/>
    <col min="2057" max="2057" width="13.5703125" style="1178" customWidth="1"/>
    <col min="2058" max="2058" width="13.7109375" style="1178" customWidth="1"/>
    <col min="2059" max="2059" width="13.140625" style="1178" customWidth="1"/>
    <col min="2060" max="2060" width="13.5703125" style="1178" customWidth="1"/>
    <col min="2061" max="2061" width="13.140625" style="1178" customWidth="1"/>
    <col min="2062" max="2062" width="12.7109375" style="1178" customWidth="1"/>
    <col min="2063" max="2063" width="15.5703125" style="1178" customWidth="1"/>
    <col min="2064" max="2064" width="10.5703125" style="1178" customWidth="1"/>
    <col min="2065" max="2065" width="19.28515625" style="1178" customWidth="1"/>
    <col min="2066" max="2304" width="9.140625" style="1178"/>
    <col min="2305" max="2305" width="6.140625" style="1178" customWidth="1"/>
    <col min="2306" max="2306" width="46.5703125" style="1178" customWidth="1"/>
    <col min="2307" max="2307" width="12.28515625" style="1178" customWidth="1"/>
    <col min="2308" max="2308" width="13.85546875" style="1178" customWidth="1"/>
    <col min="2309" max="2309" width="16" style="1178" customWidth="1"/>
    <col min="2310" max="2310" width="13" style="1178" customWidth="1"/>
    <col min="2311" max="2311" width="13.42578125" style="1178" customWidth="1"/>
    <col min="2312" max="2312" width="13.85546875" style="1178" customWidth="1"/>
    <col min="2313" max="2313" width="13.5703125" style="1178" customWidth="1"/>
    <col min="2314" max="2314" width="13.7109375" style="1178" customWidth="1"/>
    <col min="2315" max="2315" width="13.140625" style="1178" customWidth="1"/>
    <col min="2316" max="2316" width="13.5703125" style="1178" customWidth="1"/>
    <col min="2317" max="2317" width="13.140625" style="1178" customWidth="1"/>
    <col min="2318" max="2318" width="12.7109375" style="1178" customWidth="1"/>
    <col min="2319" max="2319" width="15.5703125" style="1178" customWidth="1"/>
    <col min="2320" max="2320" width="10.5703125" style="1178" customWidth="1"/>
    <col min="2321" max="2321" width="19.28515625" style="1178" customWidth="1"/>
    <col min="2322" max="2560" width="9.140625" style="1178"/>
    <col min="2561" max="2561" width="6.140625" style="1178" customWidth="1"/>
    <col min="2562" max="2562" width="46.5703125" style="1178" customWidth="1"/>
    <col min="2563" max="2563" width="12.28515625" style="1178" customWidth="1"/>
    <col min="2564" max="2564" width="13.85546875" style="1178" customWidth="1"/>
    <col min="2565" max="2565" width="16" style="1178" customWidth="1"/>
    <col min="2566" max="2566" width="13" style="1178" customWidth="1"/>
    <col min="2567" max="2567" width="13.42578125" style="1178" customWidth="1"/>
    <col min="2568" max="2568" width="13.85546875" style="1178" customWidth="1"/>
    <col min="2569" max="2569" width="13.5703125" style="1178" customWidth="1"/>
    <col min="2570" max="2570" width="13.7109375" style="1178" customWidth="1"/>
    <col min="2571" max="2571" width="13.140625" style="1178" customWidth="1"/>
    <col min="2572" max="2572" width="13.5703125" style="1178" customWidth="1"/>
    <col min="2573" max="2573" width="13.140625" style="1178" customWidth="1"/>
    <col min="2574" max="2574" width="12.7109375" style="1178" customWidth="1"/>
    <col min="2575" max="2575" width="15.5703125" style="1178" customWidth="1"/>
    <col min="2576" max="2576" width="10.5703125" style="1178" customWidth="1"/>
    <col min="2577" max="2577" width="19.28515625" style="1178" customWidth="1"/>
    <col min="2578" max="2816" width="9.140625" style="1178"/>
    <col min="2817" max="2817" width="6.140625" style="1178" customWidth="1"/>
    <col min="2818" max="2818" width="46.5703125" style="1178" customWidth="1"/>
    <col min="2819" max="2819" width="12.28515625" style="1178" customWidth="1"/>
    <col min="2820" max="2820" width="13.85546875" style="1178" customWidth="1"/>
    <col min="2821" max="2821" width="16" style="1178" customWidth="1"/>
    <col min="2822" max="2822" width="13" style="1178" customWidth="1"/>
    <col min="2823" max="2823" width="13.42578125" style="1178" customWidth="1"/>
    <col min="2824" max="2824" width="13.85546875" style="1178" customWidth="1"/>
    <col min="2825" max="2825" width="13.5703125" style="1178" customWidth="1"/>
    <col min="2826" max="2826" width="13.7109375" style="1178" customWidth="1"/>
    <col min="2827" max="2827" width="13.140625" style="1178" customWidth="1"/>
    <col min="2828" max="2828" width="13.5703125" style="1178" customWidth="1"/>
    <col min="2829" max="2829" width="13.140625" style="1178" customWidth="1"/>
    <col min="2830" max="2830" width="12.7109375" style="1178" customWidth="1"/>
    <col min="2831" max="2831" width="15.5703125" style="1178" customWidth="1"/>
    <col min="2832" max="2832" width="10.5703125" style="1178" customWidth="1"/>
    <col min="2833" max="2833" width="19.28515625" style="1178" customWidth="1"/>
    <col min="2834" max="3072" width="9.140625" style="1178"/>
    <col min="3073" max="3073" width="6.140625" style="1178" customWidth="1"/>
    <col min="3074" max="3074" width="46.5703125" style="1178" customWidth="1"/>
    <col min="3075" max="3075" width="12.28515625" style="1178" customWidth="1"/>
    <col min="3076" max="3076" width="13.85546875" style="1178" customWidth="1"/>
    <col min="3077" max="3077" width="16" style="1178" customWidth="1"/>
    <col min="3078" max="3078" width="13" style="1178" customWidth="1"/>
    <col min="3079" max="3079" width="13.42578125" style="1178" customWidth="1"/>
    <col min="3080" max="3080" width="13.85546875" style="1178" customWidth="1"/>
    <col min="3081" max="3081" width="13.5703125" style="1178" customWidth="1"/>
    <col min="3082" max="3082" width="13.7109375" style="1178" customWidth="1"/>
    <col min="3083" max="3083" width="13.140625" style="1178" customWidth="1"/>
    <col min="3084" max="3084" width="13.5703125" style="1178" customWidth="1"/>
    <col min="3085" max="3085" width="13.140625" style="1178" customWidth="1"/>
    <col min="3086" max="3086" width="12.7109375" style="1178" customWidth="1"/>
    <col min="3087" max="3087" width="15.5703125" style="1178" customWidth="1"/>
    <col min="3088" max="3088" width="10.5703125" style="1178" customWidth="1"/>
    <col min="3089" max="3089" width="19.28515625" style="1178" customWidth="1"/>
    <col min="3090" max="3328" width="9.140625" style="1178"/>
    <col min="3329" max="3329" width="6.140625" style="1178" customWidth="1"/>
    <col min="3330" max="3330" width="46.5703125" style="1178" customWidth="1"/>
    <col min="3331" max="3331" width="12.28515625" style="1178" customWidth="1"/>
    <col min="3332" max="3332" width="13.85546875" style="1178" customWidth="1"/>
    <col min="3333" max="3333" width="16" style="1178" customWidth="1"/>
    <col min="3334" max="3334" width="13" style="1178" customWidth="1"/>
    <col min="3335" max="3335" width="13.42578125" style="1178" customWidth="1"/>
    <col min="3336" max="3336" width="13.85546875" style="1178" customWidth="1"/>
    <col min="3337" max="3337" width="13.5703125" style="1178" customWidth="1"/>
    <col min="3338" max="3338" width="13.7109375" style="1178" customWidth="1"/>
    <col min="3339" max="3339" width="13.140625" style="1178" customWidth="1"/>
    <col min="3340" max="3340" width="13.5703125" style="1178" customWidth="1"/>
    <col min="3341" max="3341" width="13.140625" style="1178" customWidth="1"/>
    <col min="3342" max="3342" width="12.7109375" style="1178" customWidth="1"/>
    <col min="3343" max="3343" width="15.5703125" style="1178" customWidth="1"/>
    <col min="3344" max="3344" width="10.5703125" style="1178" customWidth="1"/>
    <col min="3345" max="3345" width="19.28515625" style="1178" customWidth="1"/>
    <col min="3346" max="3584" width="9.140625" style="1178"/>
    <col min="3585" max="3585" width="6.140625" style="1178" customWidth="1"/>
    <col min="3586" max="3586" width="46.5703125" style="1178" customWidth="1"/>
    <col min="3587" max="3587" width="12.28515625" style="1178" customWidth="1"/>
    <col min="3588" max="3588" width="13.85546875" style="1178" customWidth="1"/>
    <col min="3589" max="3589" width="16" style="1178" customWidth="1"/>
    <col min="3590" max="3590" width="13" style="1178" customWidth="1"/>
    <col min="3591" max="3591" width="13.42578125" style="1178" customWidth="1"/>
    <col min="3592" max="3592" width="13.85546875" style="1178" customWidth="1"/>
    <col min="3593" max="3593" width="13.5703125" style="1178" customWidth="1"/>
    <col min="3594" max="3594" width="13.7109375" style="1178" customWidth="1"/>
    <col min="3595" max="3595" width="13.140625" style="1178" customWidth="1"/>
    <col min="3596" max="3596" width="13.5703125" style="1178" customWidth="1"/>
    <col min="3597" max="3597" width="13.140625" style="1178" customWidth="1"/>
    <col min="3598" max="3598" width="12.7109375" style="1178" customWidth="1"/>
    <col min="3599" max="3599" width="15.5703125" style="1178" customWidth="1"/>
    <col min="3600" max="3600" width="10.5703125" style="1178" customWidth="1"/>
    <col min="3601" max="3601" width="19.28515625" style="1178" customWidth="1"/>
    <col min="3602" max="3840" width="9.140625" style="1178"/>
    <col min="3841" max="3841" width="6.140625" style="1178" customWidth="1"/>
    <col min="3842" max="3842" width="46.5703125" style="1178" customWidth="1"/>
    <col min="3843" max="3843" width="12.28515625" style="1178" customWidth="1"/>
    <col min="3844" max="3844" width="13.85546875" style="1178" customWidth="1"/>
    <col min="3845" max="3845" width="16" style="1178" customWidth="1"/>
    <col min="3846" max="3846" width="13" style="1178" customWidth="1"/>
    <col min="3847" max="3847" width="13.42578125" style="1178" customWidth="1"/>
    <col min="3848" max="3848" width="13.85546875" style="1178" customWidth="1"/>
    <col min="3849" max="3849" width="13.5703125" style="1178" customWidth="1"/>
    <col min="3850" max="3850" width="13.7109375" style="1178" customWidth="1"/>
    <col min="3851" max="3851" width="13.140625" style="1178" customWidth="1"/>
    <col min="3852" max="3852" width="13.5703125" style="1178" customWidth="1"/>
    <col min="3853" max="3853" width="13.140625" style="1178" customWidth="1"/>
    <col min="3854" max="3854" width="12.7109375" style="1178" customWidth="1"/>
    <col min="3855" max="3855" width="15.5703125" style="1178" customWidth="1"/>
    <col min="3856" max="3856" width="10.5703125" style="1178" customWidth="1"/>
    <col min="3857" max="3857" width="19.28515625" style="1178" customWidth="1"/>
    <col min="3858" max="4096" width="9.140625" style="1178"/>
    <col min="4097" max="4097" width="6.140625" style="1178" customWidth="1"/>
    <col min="4098" max="4098" width="46.5703125" style="1178" customWidth="1"/>
    <col min="4099" max="4099" width="12.28515625" style="1178" customWidth="1"/>
    <col min="4100" max="4100" width="13.85546875" style="1178" customWidth="1"/>
    <col min="4101" max="4101" width="16" style="1178" customWidth="1"/>
    <col min="4102" max="4102" width="13" style="1178" customWidth="1"/>
    <col min="4103" max="4103" width="13.42578125" style="1178" customWidth="1"/>
    <col min="4104" max="4104" width="13.85546875" style="1178" customWidth="1"/>
    <col min="4105" max="4105" width="13.5703125" style="1178" customWidth="1"/>
    <col min="4106" max="4106" width="13.7109375" style="1178" customWidth="1"/>
    <col min="4107" max="4107" width="13.140625" style="1178" customWidth="1"/>
    <col min="4108" max="4108" width="13.5703125" style="1178" customWidth="1"/>
    <col min="4109" max="4109" width="13.140625" style="1178" customWidth="1"/>
    <col min="4110" max="4110" width="12.7109375" style="1178" customWidth="1"/>
    <col min="4111" max="4111" width="15.5703125" style="1178" customWidth="1"/>
    <col min="4112" max="4112" width="10.5703125" style="1178" customWidth="1"/>
    <col min="4113" max="4113" width="19.28515625" style="1178" customWidth="1"/>
    <col min="4114" max="4352" width="9.140625" style="1178"/>
    <col min="4353" max="4353" width="6.140625" style="1178" customWidth="1"/>
    <col min="4354" max="4354" width="46.5703125" style="1178" customWidth="1"/>
    <col min="4355" max="4355" width="12.28515625" style="1178" customWidth="1"/>
    <col min="4356" max="4356" width="13.85546875" style="1178" customWidth="1"/>
    <col min="4357" max="4357" width="16" style="1178" customWidth="1"/>
    <col min="4358" max="4358" width="13" style="1178" customWidth="1"/>
    <col min="4359" max="4359" width="13.42578125" style="1178" customWidth="1"/>
    <col min="4360" max="4360" width="13.85546875" style="1178" customWidth="1"/>
    <col min="4361" max="4361" width="13.5703125" style="1178" customWidth="1"/>
    <col min="4362" max="4362" width="13.7109375" style="1178" customWidth="1"/>
    <col min="4363" max="4363" width="13.140625" style="1178" customWidth="1"/>
    <col min="4364" max="4364" width="13.5703125" style="1178" customWidth="1"/>
    <col min="4365" max="4365" width="13.140625" style="1178" customWidth="1"/>
    <col min="4366" max="4366" width="12.7109375" style="1178" customWidth="1"/>
    <col min="4367" max="4367" width="15.5703125" style="1178" customWidth="1"/>
    <col min="4368" max="4368" width="10.5703125" style="1178" customWidth="1"/>
    <col min="4369" max="4369" width="19.28515625" style="1178" customWidth="1"/>
    <col min="4370" max="4608" width="9.140625" style="1178"/>
    <col min="4609" max="4609" width="6.140625" style="1178" customWidth="1"/>
    <col min="4610" max="4610" width="46.5703125" style="1178" customWidth="1"/>
    <col min="4611" max="4611" width="12.28515625" style="1178" customWidth="1"/>
    <col min="4612" max="4612" width="13.85546875" style="1178" customWidth="1"/>
    <col min="4613" max="4613" width="16" style="1178" customWidth="1"/>
    <col min="4614" max="4614" width="13" style="1178" customWidth="1"/>
    <col min="4615" max="4615" width="13.42578125" style="1178" customWidth="1"/>
    <col min="4616" max="4616" width="13.85546875" style="1178" customWidth="1"/>
    <col min="4617" max="4617" width="13.5703125" style="1178" customWidth="1"/>
    <col min="4618" max="4618" width="13.7109375" style="1178" customWidth="1"/>
    <col min="4619" max="4619" width="13.140625" style="1178" customWidth="1"/>
    <col min="4620" max="4620" width="13.5703125" style="1178" customWidth="1"/>
    <col min="4621" max="4621" width="13.140625" style="1178" customWidth="1"/>
    <col min="4622" max="4622" width="12.7109375" style="1178" customWidth="1"/>
    <col min="4623" max="4623" width="15.5703125" style="1178" customWidth="1"/>
    <col min="4624" max="4624" width="10.5703125" style="1178" customWidth="1"/>
    <col min="4625" max="4625" width="19.28515625" style="1178" customWidth="1"/>
    <col min="4626" max="4864" width="9.140625" style="1178"/>
    <col min="4865" max="4865" width="6.140625" style="1178" customWidth="1"/>
    <col min="4866" max="4866" width="46.5703125" style="1178" customWidth="1"/>
    <col min="4867" max="4867" width="12.28515625" style="1178" customWidth="1"/>
    <col min="4868" max="4868" width="13.85546875" style="1178" customWidth="1"/>
    <col min="4869" max="4869" width="16" style="1178" customWidth="1"/>
    <col min="4870" max="4870" width="13" style="1178" customWidth="1"/>
    <col min="4871" max="4871" width="13.42578125" style="1178" customWidth="1"/>
    <col min="4872" max="4872" width="13.85546875" style="1178" customWidth="1"/>
    <col min="4873" max="4873" width="13.5703125" style="1178" customWidth="1"/>
    <col min="4874" max="4874" width="13.7109375" style="1178" customWidth="1"/>
    <col min="4875" max="4875" width="13.140625" style="1178" customWidth="1"/>
    <col min="4876" max="4876" width="13.5703125" style="1178" customWidth="1"/>
    <col min="4877" max="4877" width="13.140625" style="1178" customWidth="1"/>
    <col min="4878" max="4878" width="12.7109375" style="1178" customWidth="1"/>
    <col min="4879" max="4879" width="15.5703125" style="1178" customWidth="1"/>
    <col min="4880" max="4880" width="10.5703125" style="1178" customWidth="1"/>
    <col min="4881" max="4881" width="19.28515625" style="1178" customWidth="1"/>
    <col min="4882" max="5120" width="9.140625" style="1178"/>
    <col min="5121" max="5121" width="6.140625" style="1178" customWidth="1"/>
    <col min="5122" max="5122" width="46.5703125" style="1178" customWidth="1"/>
    <col min="5123" max="5123" width="12.28515625" style="1178" customWidth="1"/>
    <col min="5124" max="5124" width="13.85546875" style="1178" customWidth="1"/>
    <col min="5125" max="5125" width="16" style="1178" customWidth="1"/>
    <col min="5126" max="5126" width="13" style="1178" customWidth="1"/>
    <col min="5127" max="5127" width="13.42578125" style="1178" customWidth="1"/>
    <col min="5128" max="5128" width="13.85546875" style="1178" customWidth="1"/>
    <col min="5129" max="5129" width="13.5703125" style="1178" customWidth="1"/>
    <col min="5130" max="5130" width="13.7109375" style="1178" customWidth="1"/>
    <col min="5131" max="5131" width="13.140625" style="1178" customWidth="1"/>
    <col min="5132" max="5132" width="13.5703125" style="1178" customWidth="1"/>
    <col min="5133" max="5133" width="13.140625" style="1178" customWidth="1"/>
    <col min="5134" max="5134" width="12.7109375" style="1178" customWidth="1"/>
    <col min="5135" max="5135" width="15.5703125" style="1178" customWidth="1"/>
    <col min="5136" max="5136" width="10.5703125" style="1178" customWidth="1"/>
    <col min="5137" max="5137" width="19.28515625" style="1178" customWidth="1"/>
    <col min="5138" max="5376" width="9.140625" style="1178"/>
    <col min="5377" max="5377" width="6.140625" style="1178" customWidth="1"/>
    <col min="5378" max="5378" width="46.5703125" style="1178" customWidth="1"/>
    <col min="5379" max="5379" width="12.28515625" style="1178" customWidth="1"/>
    <col min="5380" max="5380" width="13.85546875" style="1178" customWidth="1"/>
    <col min="5381" max="5381" width="16" style="1178" customWidth="1"/>
    <col min="5382" max="5382" width="13" style="1178" customWidth="1"/>
    <col min="5383" max="5383" width="13.42578125" style="1178" customWidth="1"/>
    <col min="5384" max="5384" width="13.85546875" style="1178" customWidth="1"/>
    <col min="5385" max="5385" width="13.5703125" style="1178" customWidth="1"/>
    <col min="5386" max="5386" width="13.7109375" style="1178" customWidth="1"/>
    <col min="5387" max="5387" width="13.140625" style="1178" customWidth="1"/>
    <col min="5388" max="5388" width="13.5703125" style="1178" customWidth="1"/>
    <col min="5389" max="5389" width="13.140625" style="1178" customWidth="1"/>
    <col min="5390" max="5390" width="12.7109375" style="1178" customWidth="1"/>
    <col min="5391" max="5391" width="15.5703125" style="1178" customWidth="1"/>
    <col min="5392" max="5392" width="10.5703125" style="1178" customWidth="1"/>
    <col min="5393" max="5393" width="19.28515625" style="1178" customWidth="1"/>
    <col min="5394" max="5632" width="9.140625" style="1178"/>
    <col min="5633" max="5633" width="6.140625" style="1178" customWidth="1"/>
    <col min="5634" max="5634" width="46.5703125" style="1178" customWidth="1"/>
    <col min="5635" max="5635" width="12.28515625" style="1178" customWidth="1"/>
    <col min="5636" max="5636" width="13.85546875" style="1178" customWidth="1"/>
    <col min="5637" max="5637" width="16" style="1178" customWidth="1"/>
    <col min="5638" max="5638" width="13" style="1178" customWidth="1"/>
    <col min="5639" max="5639" width="13.42578125" style="1178" customWidth="1"/>
    <col min="5640" max="5640" width="13.85546875" style="1178" customWidth="1"/>
    <col min="5641" max="5641" width="13.5703125" style="1178" customWidth="1"/>
    <col min="5642" max="5642" width="13.7109375" style="1178" customWidth="1"/>
    <col min="5643" max="5643" width="13.140625" style="1178" customWidth="1"/>
    <col min="5644" max="5644" width="13.5703125" style="1178" customWidth="1"/>
    <col min="5645" max="5645" width="13.140625" style="1178" customWidth="1"/>
    <col min="5646" max="5646" width="12.7109375" style="1178" customWidth="1"/>
    <col min="5647" max="5647" width="15.5703125" style="1178" customWidth="1"/>
    <col min="5648" max="5648" width="10.5703125" style="1178" customWidth="1"/>
    <col min="5649" max="5649" width="19.28515625" style="1178" customWidth="1"/>
    <col min="5650" max="5888" width="9.140625" style="1178"/>
    <col min="5889" max="5889" width="6.140625" style="1178" customWidth="1"/>
    <col min="5890" max="5890" width="46.5703125" style="1178" customWidth="1"/>
    <col min="5891" max="5891" width="12.28515625" style="1178" customWidth="1"/>
    <col min="5892" max="5892" width="13.85546875" style="1178" customWidth="1"/>
    <col min="5893" max="5893" width="16" style="1178" customWidth="1"/>
    <col min="5894" max="5894" width="13" style="1178" customWidth="1"/>
    <col min="5895" max="5895" width="13.42578125" style="1178" customWidth="1"/>
    <col min="5896" max="5896" width="13.85546875" style="1178" customWidth="1"/>
    <col min="5897" max="5897" width="13.5703125" style="1178" customWidth="1"/>
    <col min="5898" max="5898" width="13.7109375" style="1178" customWidth="1"/>
    <col min="5899" max="5899" width="13.140625" style="1178" customWidth="1"/>
    <col min="5900" max="5900" width="13.5703125" style="1178" customWidth="1"/>
    <col min="5901" max="5901" width="13.140625" style="1178" customWidth="1"/>
    <col min="5902" max="5902" width="12.7109375" style="1178" customWidth="1"/>
    <col min="5903" max="5903" width="15.5703125" style="1178" customWidth="1"/>
    <col min="5904" max="5904" width="10.5703125" style="1178" customWidth="1"/>
    <col min="5905" max="5905" width="19.28515625" style="1178" customWidth="1"/>
    <col min="5906" max="6144" width="9.140625" style="1178"/>
    <col min="6145" max="6145" width="6.140625" style="1178" customWidth="1"/>
    <col min="6146" max="6146" width="46.5703125" style="1178" customWidth="1"/>
    <col min="6147" max="6147" width="12.28515625" style="1178" customWidth="1"/>
    <col min="6148" max="6148" width="13.85546875" style="1178" customWidth="1"/>
    <col min="6149" max="6149" width="16" style="1178" customWidth="1"/>
    <col min="6150" max="6150" width="13" style="1178" customWidth="1"/>
    <col min="6151" max="6151" width="13.42578125" style="1178" customWidth="1"/>
    <col min="6152" max="6152" width="13.85546875" style="1178" customWidth="1"/>
    <col min="6153" max="6153" width="13.5703125" style="1178" customWidth="1"/>
    <col min="6154" max="6154" width="13.7109375" style="1178" customWidth="1"/>
    <col min="6155" max="6155" width="13.140625" style="1178" customWidth="1"/>
    <col min="6156" max="6156" width="13.5703125" style="1178" customWidth="1"/>
    <col min="6157" max="6157" width="13.140625" style="1178" customWidth="1"/>
    <col min="6158" max="6158" width="12.7109375" style="1178" customWidth="1"/>
    <col min="6159" max="6159" width="15.5703125" style="1178" customWidth="1"/>
    <col min="6160" max="6160" width="10.5703125" style="1178" customWidth="1"/>
    <col min="6161" max="6161" width="19.28515625" style="1178" customWidth="1"/>
    <col min="6162" max="6400" width="9.140625" style="1178"/>
    <col min="6401" max="6401" width="6.140625" style="1178" customWidth="1"/>
    <col min="6402" max="6402" width="46.5703125" style="1178" customWidth="1"/>
    <col min="6403" max="6403" width="12.28515625" style="1178" customWidth="1"/>
    <col min="6404" max="6404" width="13.85546875" style="1178" customWidth="1"/>
    <col min="6405" max="6405" width="16" style="1178" customWidth="1"/>
    <col min="6406" max="6406" width="13" style="1178" customWidth="1"/>
    <col min="6407" max="6407" width="13.42578125" style="1178" customWidth="1"/>
    <col min="6408" max="6408" width="13.85546875" style="1178" customWidth="1"/>
    <col min="6409" max="6409" width="13.5703125" style="1178" customWidth="1"/>
    <col min="6410" max="6410" width="13.7109375" style="1178" customWidth="1"/>
    <col min="6411" max="6411" width="13.140625" style="1178" customWidth="1"/>
    <col min="6412" max="6412" width="13.5703125" style="1178" customWidth="1"/>
    <col min="6413" max="6413" width="13.140625" style="1178" customWidth="1"/>
    <col min="6414" max="6414" width="12.7109375" style="1178" customWidth="1"/>
    <col min="6415" max="6415" width="15.5703125" style="1178" customWidth="1"/>
    <col min="6416" max="6416" width="10.5703125" style="1178" customWidth="1"/>
    <col min="6417" max="6417" width="19.28515625" style="1178" customWidth="1"/>
    <col min="6418" max="6656" width="9.140625" style="1178"/>
    <col min="6657" max="6657" width="6.140625" style="1178" customWidth="1"/>
    <col min="6658" max="6658" width="46.5703125" style="1178" customWidth="1"/>
    <col min="6659" max="6659" width="12.28515625" style="1178" customWidth="1"/>
    <col min="6660" max="6660" width="13.85546875" style="1178" customWidth="1"/>
    <col min="6661" max="6661" width="16" style="1178" customWidth="1"/>
    <col min="6662" max="6662" width="13" style="1178" customWidth="1"/>
    <col min="6663" max="6663" width="13.42578125" style="1178" customWidth="1"/>
    <col min="6664" max="6664" width="13.85546875" style="1178" customWidth="1"/>
    <col min="6665" max="6665" width="13.5703125" style="1178" customWidth="1"/>
    <col min="6666" max="6666" width="13.7109375" style="1178" customWidth="1"/>
    <col min="6667" max="6667" width="13.140625" style="1178" customWidth="1"/>
    <col min="6668" max="6668" width="13.5703125" style="1178" customWidth="1"/>
    <col min="6669" max="6669" width="13.140625" style="1178" customWidth="1"/>
    <col min="6670" max="6670" width="12.7109375" style="1178" customWidth="1"/>
    <col min="6671" max="6671" width="15.5703125" style="1178" customWidth="1"/>
    <col min="6672" max="6672" width="10.5703125" style="1178" customWidth="1"/>
    <col min="6673" max="6673" width="19.28515625" style="1178" customWidth="1"/>
    <col min="6674" max="6912" width="9.140625" style="1178"/>
    <col min="6913" max="6913" width="6.140625" style="1178" customWidth="1"/>
    <col min="6914" max="6914" width="46.5703125" style="1178" customWidth="1"/>
    <col min="6915" max="6915" width="12.28515625" style="1178" customWidth="1"/>
    <col min="6916" max="6916" width="13.85546875" style="1178" customWidth="1"/>
    <col min="6917" max="6917" width="16" style="1178" customWidth="1"/>
    <col min="6918" max="6918" width="13" style="1178" customWidth="1"/>
    <col min="6919" max="6919" width="13.42578125" style="1178" customWidth="1"/>
    <col min="6920" max="6920" width="13.85546875" style="1178" customWidth="1"/>
    <col min="6921" max="6921" width="13.5703125" style="1178" customWidth="1"/>
    <col min="6922" max="6922" width="13.7109375" style="1178" customWidth="1"/>
    <col min="6923" max="6923" width="13.140625" style="1178" customWidth="1"/>
    <col min="6924" max="6924" width="13.5703125" style="1178" customWidth="1"/>
    <col min="6925" max="6925" width="13.140625" style="1178" customWidth="1"/>
    <col min="6926" max="6926" width="12.7109375" style="1178" customWidth="1"/>
    <col min="6927" max="6927" width="15.5703125" style="1178" customWidth="1"/>
    <col min="6928" max="6928" width="10.5703125" style="1178" customWidth="1"/>
    <col min="6929" max="6929" width="19.28515625" style="1178" customWidth="1"/>
    <col min="6930" max="7168" width="9.140625" style="1178"/>
    <col min="7169" max="7169" width="6.140625" style="1178" customWidth="1"/>
    <col min="7170" max="7170" width="46.5703125" style="1178" customWidth="1"/>
    <col min="7171" max="7171" width="12.28515625" style="1178" customWidth="1"/>
    <col min="7172" max="7172" width="13.85546875" style="1178" customWidth="1"/>
    <col min="7173" max="7173" width="16" style="1178" customWidth="1"/>
    <col min="7174" max="7174" width="13" style="1178" customWidth="1"/>
    <col min="7175" max="7175" width="13.42578125" style="1178" customWidth="1"/>
    <col min="7176" max="7176" width="13.85546875" style="1178" customWidth="1"/>
    <col min="7177" max="7177" width="13.5703125" style="1178" customWidth="1"/>
    <col min="7178" max="7178" width="13.7109375" style="1178" customWidth="1"/>
    <col min="7179" max="7179" width="13.140625" style="1178" customWidth="1"/>
    <col min="7180" max="7180" width="13.5703125" style="1178" customWidth="1"/>
    <col min="7181" max="7181" width="13.140625" style="1178" customWidth="1"/>
    <col min="7182" max="7182" width="12.7109375" style="1178" customWidth="1"/>
    <col min="7183" max="7183" width="15.5703125" style="1178" customWidth="1"/>
    <col min="7184" max="7184" width="10.5703125" style="1178" customWidth="1"/>
    <col min="7185" max="7185" width="19.28515625" style="1178" customWidth="1"/>
    <col min="7186" max="7424" width="9.140625" style="1178"/>
    <col min="7425" max="7425" width="6.140625" style="1178" customWidth="1"/>
    <col min="7426" max="7426" width="46.5703125" style="1178" customWidth="1"/>
    <col min="7427" max="7427" width="12.28515625" style="1178" customWidth="1"/>
    <col min="7428" max="7428" width="13.85546875" style="1178" customWidth="1"/>
    <col min="7429" max="7429" width="16" style="1178" customWidth="1"/>
    <col min="7430" max="7430" width="13" style="1178" customWidth="1"/>
    <col min="7431" max="7431" width="13.42578125" style="1178" customWidth="1"/>
    <col min="7432" max="7432" width="13.85546875" style="1178" customWidth="1"/>
    <col min="7433" max="7433" width="13.5703125" style="1178" customWidth="1"/>
    <col min="7434" max="7434" width="13.7109375" style="1178" customWidth="1"/>
    <col min="7435" max="7435" width="13.140625" style="1178" customWidth="1"/>
    <col min="7436" max="7436" width="13.5703125" style="1178" customWidth="1"/>
    <col min="7437" max="7437" width="13.140625" style="1178" customWidth="1"/>
    <col min="7438" max="7438" width="12.7109375" style="1178" customWidth="1"/>
    <col min="7439" max="7439" width="15.5703125" style="1178" customWidth="1"/>
    <col min="7440" max="7440" width="10.5703125" style="1178" customWidth="1"/>
    <col min="7441" max="7441" width="19.28515625" style="1178" customWidth="1"/>
    <col min="7442" max="7680" width="9.140625" style="1178"/>
    <col min="7681" max="7681" width="6.140625" style="1178" customWidth="1"/>
    <col min="7682" max="7682" width="46.5703125" style="1178" customWidth="1"/>
    <col min="7683" max="7683" width="12.28515625" style="1178" customWidth="1"/>
    <col min="7684" max="7684" width="13.85546875" style="1178" customWidth="1"/>
    <col min="7685" max="7685" width="16" style="1178" customWidth="1"/>
    <col min="7686" max="7686" width="13" style="1178" customWidth="1"/>
    <col min="7687" max="7687" width="13.42578125" style="1178" customWidth="1"/>
    <col min="7688" max="7688" width="13.85546875" style="1178" customWidth="1"/>
    <col min="7689" max="7689" width="13.5703125" style="1178" customWidth="1"/>
    <col min="7690" max="7690" width="13.7109375" style="1178" customWidth="1"/>
    <col min="7691" max="7691" width="13.140625" style="1178" customWidth="1"/>
    <col min="7692" max="7692" width="13.5703125" style="1178" customWidth="1"/>
    <col min="7693" max="7693" width="13.140625" style="1178" customWidth="1"/>
    <col min="7694" max="7694" width="12.7109375" style="1178" customWidth="1"/>
    <col min="7695" max="7695" width="15.5703125" style="1178" customWidth="1"/>
    <col min="7696" max="7696" width="10.5703125" style="1178" customWidth="1"/>
    <col min="7697" max="7697" width="19.28515625" style="1178" customWidth="1"/>
    <col min="7698" max="7936" width="9.140625" style="1178"/>
    <col min="7937" max="7937" width="6.140625" style="1178" customWidth="1"/>
    <col min="7938" max="7938" width="46.5703125" style="1178" customWidth="1"/>
    <col min="7939" max="7939" width="12.28515625" style="1178" customWidth="1"/>
    <col min="7940" max="7940" width="13.85546875" style="1178" customWidth="1"/>
    <col min="7941" max="7941" width="16" style="1178" customWidth="1"/>
    <col min="7942" max="7942" width="13" style="1178" customWidth="1"/>
    <col min="7943" max="7943" width="13.42578125" style="1178" customWidth="1"/>
    <col min="7944" max="7944" width="13.85546875" style="1178" customWidth="1"/>
    <col min="7945" max="7945" width="13.5703125" style="1178" customWidth="1"/>
    <col min="7946" max="7946" width="13.7109375" style="1178" customWidth="1"/>
    <col min="7947" max="7947" width="13.140625" style="1178" customWidth="1"/>
    <col min="7948" max="7948" width="13.5703125" style="1178" customWidth="1"/>
    <col min="7949" max="7949" width="13.140625" style="1178" customWidth="1"/>
    <col min="7950" max="7950" width="12.7109375" style="1178" customWidth="1"/>
    <col min="7951" max="7951" width="15.5703125" style="1178" customWidth="1"/>
    <col min="7952" max="7952" width="10.5703125" style="1178" customWidth="1"/>
    <col min="7953" max="7953" width="19.28515625" style="1178" customWidth="1"/>
    <col min="7954" max="8192" width="9.140625" style="1178"/>
    <col min="8193" max="8193" width="6.140625" style="1178" customWidth="1"/>
    <col min="8194" max="8194" width="46.5703125" style="1178" customWidth="1"/>
    <col min="8195" max="8195" width="12.28515625" style="1178" customWidth="1"/>
    <col min="8196" max="8196" width="13.85546875" style="1178" customWidth="1"/>
    <col min="8197" max="8197" width="16" style="1178" customWidth="1"/>
    <col min="8198" max="8198" width="13" style="1178" customWidth="1"/>
    <col min="8199" max="8199" width="13.42578125" style="1178" customWidth="1"/>
    <col min="8200" max="8200" width="13.85546875" style="1178" customWidth="1"/>
    <col min="8201" max="8201" width="13.5703125" style="1178" customWidth="1"/>
    <col min="8202" max="8202" width="13.7109375" style="1178" customWidth="1"/>
    <col min="8203" max="8203" width="13.140625" style="1178" customWidth="1"/>
    <col min="8204" max="8204" width="13.5703125" style="1178" customWidth="1"/>
    <col min="8205" max="8205" width="13.140625" style="1178" customWidth="1"/>
    <col min="8206" max="8206" width="12.7109375" style="1178" customWidth="1"/>
    <col min="8207" max="8207" width="15.5703125" style="1178" customWidth="1"/>
    <col min="8208" max="8208" width="10.5703125" style="1178" customWidth="1"/>
    <col min="8209" max="8209" width="19.28515625" style="1178" customWidth="1"/>
    <col min="8210" max="8448" width="9.140625" style="1178"/>
    <col min="8449" max="8449" width="6.140625" style="1178" customWidth="1"/>
    <col min="8450" max="8450" width="46.5703125" style="1178" customWidth="1"/>
    <col min="8451" max="8451" width="12.28515625" style="1178" customWidth="1"/>
    <col min="8452" max="8452" width="13.85546875" style="1178" customWidth="1"/>
    <col min="8453" max="8453" width="16" style="1178" customWidth="1"/>
    <col min="8454" max="8454" width="13" style="1178" customWidth="1"/>
    <col min="8455" max="8455" width="13.42578125" style="1178" customWidth="1"/>
    <col min="8456" max="8456" width="13.85546875" style="1178" customWidth="1"/>
    <col min="8457" max="8457" width="13.5703125" style="1178" customWidth="1"/>
    <col min="8458" max="8458" width="13.7109375" style="1178" customWidth="1"/>
    <col min="8459" max="8459" width="13.140625" style="1178" customWidth="1"/>
    <col min="8460" max="8460" width="13.5703125" style="1178" customWidth="1"/>
    <col min="8461" max="8461" width="13.140625" style="1178" customWidth="1"/>
    <col min="8462" max="8462" width="12.7109375" style="1178" customWidth="1"/>
    <col min="8463" max="8463" width="15.5703125" style="1178" customWidth="1"/>
    <col min="8464" max="8464" width="10.5703125" style="1178" customWidth="1"/>
    <col min="8465" max="8465" width="19.28515625" style="1178" customWidth="1"/>
    <col min="8466" max="8704" width="9.140625" style="1178"/>
    <col min="8705" max="8705" width="6.140625" style="1178" customWidth="1"/>
    <col min="8706" max="8706" width="46.5703125" style="1178" customWidth="1"/>
    <col min="8707" max="8707" width="12.28515625" style="1178" customWidth="1"/>
    <col min="8708" max="8708" width="13.85546875" style="1178" customWidth="1"/>
    <col min="8709" max="8709" width="16" style="1178" customWidth="1"/>
    <col min="8710" max="8710" width="13" style="1178" customWidth="1"/>
    <col min="8711" max="8711" width="13.42578125" style="1178" customWidth="1"/>
    <col min="8712" max="8712" width="13.85546875" style="1178" customWidth="1"/>
    <col min="8713" max="8713" width="13.5703125" style="1178" customWidth="1"/>
    <col min="8714" max="8714" width="13.7109375" style="1178" customWidth="1"/>
    <col min="8715" max="8715" width="13.140625" style="1178" customWidth="1"/>
    <col min="8716" max="8716" width="13.5703125" style="1178" customWidth="1"/>
    <col min="8717" max="8717" width="13.140625" style="1178" customWidth="1"/>
    <col min="8718" max="8718" width="12.7109375" style="1178" customWidth="1"/>
    <col min="8719" max="8719" width="15.5703125" style="1178" customWidth="1"/>
    <col min="8720" max="8720" width="10.5703125" style="1178" customWidth="1"/>
    <col min="8721" max="8721" width="19.28515625" style="1178" customWidth="1"/>
    <col min="8722" max="8960" width="9.140625" style="1178"/>
    <col min="8961" max="8961" width="6.140625" style="1178" customWidth="1"/>
    <col min="8962" max="8962" width="46.5703125" style="1178" customWidth="1"/>
    <col min="8963" max="8963" width="12.28515625" style="1178" customWidth="1"/>
    <col min="8964" max="8964" width="13.85546875" style="1178" customWidth="1"/>
    <col min="8965" max="8965" width="16" style="1178" customWidth="1"/>
    <col min="8966" max="8966" width="13" style="1178" customWidth="1"/>
    <col min="8967" max="8967" width="13.42578125" style="1178" customWidth="1"/>
    <col min="8968" max="8968" width="13.85546875" style="1178" customWidth="1"/>
    <col min="8969" max="8969" width="13.5703125" style="1178" customWidth="1"/>
    <col min="8970" max="8970" width="13.7109375" style="1178" customWidth="1"/>
    <col min="8971" max="8971" width="13.140625" style="1178" customWidth="1"/>
    <col min="8972" max="8972" width="13.5703125" style="1178" customWidth="1"/>
    <col min="8973" max="8973" width="13.140625" style="1178" customWidth="1"/>
    <col min="8974" max="8974" width="12.7109375" style="1178" customWidth="1"/>
    <col min="8975" max="8975" width="15.5703125" style="1178" customWidth="1"/>
    <col min="8976" max="8976" width="10.5703125" style="1178" customWidth="1"/>
    <col min="8977" max="8977" width="19.28515625" style="1178" customWidth="1"/>
    <col min="8978" max="9216" width="9.140625" style="1178"/>
    <col min="9217" max="9217" width="6.140625" style="1178" customWidth="1"/>
    <col min="9218" max="9218" width="46.5703125" style="1178" customWidth="1"/>
    <col min="9219" max="9219" width="12.28515625" style="1178" customWidth="1"/>
    <col min="9220" max="9220" width="13.85546875" style="1178" customWidth="1"/>
    <col min="9221" max="9221" width="16" style="1178" customWidth="1"/>
    <col min="9222" max="9222" width="13" style="1178" customWidth="1"/>
    <col min="9223" max="9223" width="13.42578125" style="1178" customWidth="1"/>
    <col min="9224" max="9224" width="13.85546875" style="1178" customWidth="1"/>
    <col min="9225" max="9225" width="13.5703125" style="1178" customWidth="1"/>
    <col min="9226" max="9226" width="13.7109375" style="1178" customWidth="1"/>
    <col min="9227" max="9227" width="13.140625" style="1178" customWidth="1"/>
    <col min="9228" max="9228" width="13.5703125" style="1178" customWidth="1"/>
    <col min="9229" max="9229" width="13.140625" style="1178" customWidth="1"/>
    <col min="9230" max="9230" width="12.7109375" style="1178" customWidth="1"/>
    <col min="9231" max="9231" width="15.5703125" style="1178" customWidth="1"/>
    <col min="9232" max="9232" width="10.5703125" style="1178" customWidth="1"/>
    <col min="9233" max="9233" width="19.28515625" style="1178" customWidth="1"/>
    <col min="9234" max="9472" width="9.140625" style="1178"/>
    <col min="9473" max="9473" width="6.140625" style="1178" customWidth="1"/>
    <col min="9474" max="9474" width="46.5703125" style="1178" customWidth="1"/>
    <col min="9475" max="9475" width="12.28515625" style="1178" customWidth="1"/>
    <col min="9476" max="9476" width="13.85546875" style="1178" customWidth="1"/>
    <col min="9477" max="9477" width="16" style="1178" customWidth="1"/>
    <col min="9478" max="9478" width="13" style="1178" customWidth="1"/>
    <col min="9479" max="9479" width="13.42578125" style="1178" customWidth="1"/>
    <col min="9480" max="9480" width="13.85546875" style="1178" customWidth="1"/>
    <col min="9481" max="9481" width="13.5703125" style="1178" customWidth="1"/>
    <col min="9482" max="9482" width="13.7109375" style="1178" customWidth="1"/>
    <col min="9483" max="9483" width="13.140625" style="1178" customWidth="1"/>
    <col min="9484" max="9484" width="13.5703125" style="1178" customWidth="1"/>
    <col min="9485" max="9485" width="13.140625" style="1178" customWidth="1"/>
    <col min="9486" max="9486" width="12.7109375" style="1178" customWidth="1"/>
    <col min="9487" max="9487" width="15.5703125" style="1178" customWidth="1"/>
    <col min="9488" max="9488" width="10.5703125" style="1178" customWidth="1"/>
    <col min="9489" max="9489" width="19.28515625" style="1178" customWidth="1"/>
    <col min="9490" max="9728" width="9.140625" style="1178"/>
    <col min="9729" max="9729" width="6.140625" style="1178" customWidth="1"/>
    <col min="9730" max="9730" width="46.5703125" style="1178" customWidth="1"/>
    <col min="9731" max="9731" width="12.28515625" style="1178" customWidth="1"/>
    <col min="9732" max="9732" width="13.85546875" style="1178" customWidth="1"/>
    <col min="9733" max="9733" width="16" style="1178" customWidth="1"/>
    <col min="9734" max="9734" width="13" style="1178" customWidth="1"/>
    <col min="9735" max="9735" width="13.42578125" style="1178" customWidth="1"/>
    <col min="9736" max="9736" width="13.85546875" style="1178" customWidth="1"/>
    <col min="9737" max="9737" width="13.5703125" style="1178" customWidth="1"/>
    <col min="9738" max="9738" width="13.7109375" style="1178" customWidth="1"/>
    <col min="9739" max="9739" width="13.140625" style="1178" customWidth="1"/>
    <col min="9740" max="9740" width="13.5703125" style="1178" customWidth="1"/>
    <col min="9741" max="9741" width="13.140625" style="1178" customWidth="1"/>
    <col min="9742" max="9742" width="12.7109375" style="1178" customWidth="1"/>
    <col min="9743" max="9743" width="15.5703125" style="1178" customWidth="1"/>
    <col min="9744" max="9744" width="10.5703125" style="1178" customWidth="1"/>
    <col min="9745" max="9745" width="19.28515625" style="1178" customWidth="1"/>
    <col min="9746" max="9984" width="9.140625" style="1178"/>
    <col min="9985" max="9985" width="6.140625" style="1178" customWidth="1"/>
    <col min="9986" max="9986" width="46.5703125" style="1178" customWidth="1"/>
    <col min="9987" max="9987" width="12.28515625" style="1178" customWidth="1"/>
    <col min="9988" max="9988" width="13.85546875" style="1178" customWidth="1"/>
    <col min="9989" max="9989" width="16" style="1178" customWidth="1"/>
    <col min="9990" max="9990" width="13" style="1178" customWidth="1"/>
    <col min="9991" max="9991" width="13.42578125" style="1178" customWidth="1"/>
    <col min="9992" max="9992" width="13.85546875" style="1178" customWidth="1"/>
    <col min="9993" max="9993" width="13.5703125" style="1178" customWidth="1"/>
    <col min="9994" max="9994" width="13.7109375" style="1178" customWidth="1"/>
    <col min="9995" max="9995" width="13.140625" style="1178" customWidth="1"/>
    <col min="9996" max="9996" width="13.5703125" style="1178" customWidth="1"/>
    <col min="9997" max="9997" width="13.140625" style="1178" customWidth="1"/>
    <col min="9998" max="9998" width="12.7109375" style="1178" customWidth="1"/>
    <col min="9999" max="9999" width="15.5703125" style="1178" customWidth="1"/>
    <col min="10000" max="10000" width="10.5703125" style="1178" customWidth="1"/>
    <col min="10001" max="10001" width="19.28515625" style="1178" customWidth="1"/>
    <col min="10002" max="10240" width="9.140625" style="1178"/>
    <col min="10241" max="10241" width="6.140625" style="1178" customWidth="1"/>
    <col min="10242" max="10242" width="46.5703125" style="1178" customWidth="1"/>
    <col min="10243" max="10243" width="12.28515625" style="1178" customWidth="1"/>
    <col min="10244" max="10244" width="13.85546875" style="1178" customWidth="1"/>
    <col min="10245" max="10245" width="16" style="1178" customWidth="1"/>
    <col min="10246" max="10246" width="13" style="1178" customWidth="1"/>
    <col min="10247" max="10247" width="13.42578125" style="1178" customWidth="1"/>
    <col min="10248" max="10248" width="13.85546875" style="1178" customWidth="1"/>
    <col min="10249" max="10249" width="13.5703125" style="1178" customWidth="1"/>
    <col min="10250" max="10250" width="13.7109375" style="1178" customWidth="1"/>
    <col min="10251" max="10251" width="13.140625" style="1178" customWidth="1"/>
    <col min="10252" max="10252" width="13.5703125" style="1178" customWidth="1"/>
    <col min="10253" max="10253" width="13.140625" style="1178" customWidth="1"/>
    <col min="10254" max="10254" width="12.7109375" style="1178" customWidth="1"/>
    <col min="10255" max="10255" width="15.5703125" style="1178" customWidth="1"/>
    <col min="10256" max="10256" width="10.5703125" style="1178" customWidth="1"/>
    <col min="10257" max="10257" width="19.28515625" style="1178" customWidth="1"/>
    <col min="10258" max="10496" width="9.140625" style="1178"/>
    <col min="10497" max="10497" width="6.140625" style="1178" customWidth="1"/>
    <col min="10498" max="10498" width="46.5703125" style="1178" customWidth="1"/>
    <col min="10499" max="10499" width="12.28515625" style="1178" customWidth="1"/>
    <col min="10500" max="10500" width="13.85546875" style="1178" customWidth="1"/>
    <col min="10501" max="10501" width="16" style="1178" customWidth="1"/>
    <col min="10502" max="10502" width="13" style="1178" customWidth="1"/>
    <col min="10503" max="10503" width="13.42578125" style="1178" customWidth="1"/>
    <col min="10504" max="10504" width="13.85546875" style="1178" customWidth="1"/>
    <col min="10505" max="10505" width="13.5703125" style="1178" customWidth="1"/>
    <col min="10506" max="10506" width="13.7109375" style="1178" customWidth="1"/>
    <col min="10507" max="10507" width="13.140625" style="1178" customWidth="1"/>
    <col min="10508" max="10508" width="13.5703125" style="1178" customWidth="1"/>
    <col min="10509" max="10509" width="13.140625" style="1178" customWidth="1"/>
    <col min="10510" max="10510" width="12.7109375" style="1178" customWidth="1"/>
    <col min="10511" max="10511" width="15.5703125" style="1178" customWidth="1"/>
    <col min="10512" max="10512" width="10.5703125" style="1178" customWidth="1"/>
    <col min="10513" max="10513" width="19.28515625" style="1178" customWidth="1"/>
    <col min="10514" max="10752" width="9.140625" style="1178"/>
    <col min="10753" max="10753" width="6.140625" style="1178" customWidth="1"/>
    <col min="10754" max="10754" width="46.5703125" style="1178" customWidth="1"/>
    <col min="10755" max="10755" width="12.28515625" style="1178" customWidth="1"/>
    <col min="10756" max="10756" width="13.85546875" style="1178" customWidth="1"/>
    <col min="10757" max="10757" width="16" style="1178" customWidth="1"/>
    <col min="10758" max="10758" width="13" style="1178" customWidth="1"/>
    <col min="10759" max="10759" width="13.42578125" style="1178" customWidth="1"/>
    <col min="10760" max="10760" width="13.85546875" style="1178" customWidth="1"/>
    <col min="10761" max="10761" width="13.5703125" style="1178" customWidth="1"/>
    <col min="10762" max="10762" width="13.7109375" style="1178" customWidth="1"/>
    <col min="10763" max="10763" width="13.140625" style="1178" customWidth="1"/>
    <col min="10764" max="10764" width="13.5703125" style="1178" customWidth="1"/>
    <col min="10765" max="10765" width="13.140625" style="1178" customWidth="1"/>
    <col min="10766" max="10766" width="12.7109375" style="1178" customWidth="1"/>
    <col min="10767" max="10767" width="15.5703125" style="1178" customWidth="1"/>
    <col min="10768" max="10768" width="10.5703125" style="1178" customWidth="1"/>
    <col min="10769" max="10769" width="19.28515625" style="1178" customWidth="1"/>
    <col min="10770" max="11008" width="9.140625" style="1178"/>
    <col min="11009" max="11009" width="6.140625" style="1178" customWidth="1"/>
    <col min="11010" max="11010" width="46.5703125" style="1178" customWidth="1"/>
    <col min="11011" max="11011" width="12.28515625" style="1178" customWidth="1"/>
    <col min="11012" max="11012" width="13.85546875" style="1178" customWidth="1"/>
    <col min="11013" max="11013" width="16" style="1178" customWidth="1"/>
    <col min="11014" max="11014" width="13" style="1178" customWidth="1"/>
    <col min="11015" max="11015" width="13.42578125" style="1178" customWidth="1"/>
    <col min="11016" max="11016" width="13.85546875" style="1178" customWidth="1"/>
    <col min="11017" max="11017" width="13.5703125" style="1178" customWidth="1"/>
    <col min="11018" max="11018" width="13.7109375" style="1178" customWidth="1"/>
    <col min="11019" max="11019" width="13.140625" style="1178" customWidth="1"/>
    <col min="11020" max="11020" width="13.5703125" style="1178" customWidth="1"/>
    <col min="11021" max="11021" width="13.140625" style="1178" customWidth="1"/>
    <col min="11022" max="11022" width="12.7109375" style="1178" customWidth="1"/>
    <col min="11023" max="11023" width="15.5703125" style="1178" customWidth="1"/>
    <col min="11024" max="11024" width="10.5703125" style="1178" customWidth="1"/>
    <col min="11025" max="11025" width="19.28515625" style="1178" customWidth="1"/>
    <col min="11026" max="11264" width="9.140625" style="1178"/>
    <col min="11265" max="11265" width="6.140625" style="1178" customWidth="1"/>
    <col min="11266" max="11266" width="46.5703125" style="1178" customWidth="1"/>
    <col min="11267" max="11267" width="12.28515625" style="1178" customWidth="1"/>
    <col min="11268" max="11268" width="13.85546875" style="1178" customWidth="1"/>
    <col min="11269" max="11269" width="16" style="1178" customWidth="1"/>
    <col min="11270" max="11270" width="13" style="1178" customWidth="1"/>
    <col min="11271" max="11271" width="13.42578125" style="1178" customWidth="1"/>
    <col min="11272" max="11272" width="13.85546875" style="1178" customWidth="1"/>
    <col min="11273" max="11273" width="13.5703125" style="1178" customWidth="1"/>
    <col min="11274" max="11274" width="13.7109375" style="1178" customWidth="1"/>
    <col min="11275" max="11275" width="13.140625" style="1178" customWidth="1"/>
    <col min="11276" max="11276" width="13.5703125" style="1178" customWidth="1"/>
    <col min="11277" max="11277" width="13.140625" style="1178" customWidth="1"/>
    <col min="11278" max="11278" width="12.7109375" style="1178" customWidth="1"/>
    <col min="11279" max="11279" width="15.5703125" style="1178" customWidth="1"/>
    <col min="11280" max="11280" width="10.5703125" style="1178" customWidth="1"/>
    <col min="11281" max="11281" width="19.28515625" style="1178" customWidth="1"/>
    <col min="11282" max="11520" width="9.140625" style="1178"/>
    <col min="11521" max="11521" width="6.140625" style="1178" customWidth="1"/>
    <col min="11522" max="11522" width="46.5703125" style="1178" customWidth="1"/>
    <col min="11523" max="11523" width="12.28515625" style="1178" customWidth="1"/>
    <col min="11524" max="11524" width="13.85546875" style="1178" customWidth="1"/>
    <col min="11525" max="11525" width="16" style="1178" customWidth="1"/>
    <col min="11526" max="11526" width="13" style="1178" customWidth="1"/>
    <col min="11527" max="11527" width="13.42578125" style="1178" customWidth="1"/>
    <col min="11528" max="11528" width="13.85546875" style="1178" customWidth="1"/>
    <col min="11529" max="11529" width="13.5703125" style="1178" customWidth="1"/>
    <col min="11530" max="11530" width="13.7109375" style="1178" customWidth="1"/>
    <col min="11531" max="11531" width="13.140625" style="1178" customWidth="1"/>
    <col min="11532" max="11532" width="13.5703125" style="1178" customWidth="1"/>
    <col min="11533" max="11533" width="13.140625" style="1178" customWidth="1"/>
    <col min="11534" max="11534" width="12.7109375" style="1178" customWidth="1"/>
    <col min="11535" max="11535" width="15.5703125" style="1178" customWidth="1"/>
    <col min="11536" max="11536" width="10.5703125" style="1178" customWidth="1"/>
    <col min="11537" max="11537" width="19.28515625" style="1178" customWidth="1"/>
    <col min="11538" max="11776" width="9.140625" style="1178"/>
    <col min="11777" max="11777" width="6.140625" style="1178" customWidth="1"/>
    <col min="11778" max="11778" width="46.5703125" style="1178" customWidth="1"/>
    <col min="11779" max="11779" width="12.28515625" style="1178" customWidth="1"/>
    <col min="11780" max="11780" width="13.85546875" style="1178" customWidth="1"/>
    <col min="11781" max="11781" width="16" style="1178" customWidth="1"/>
    <col min="11782" max="11782" width="13" style="1178" customWidth="1"/>
    <col min="11783" max="11783" width="13.42578125" style="1178" customWidth="1"/>
    <col min="11784" max="11784" width="13.85546875" style="1178" customWidth="1"/>
    <col min="11785" max="11785" width="13.5703125" style="1178" customWidth="1"/>
    <col min="11786" max="11786" width="13.7109375" style="1178" customWidth="1"/>
    <col min="11787" max="11787" width="13.140625" style="1178" customWidth="1"/>
    <col min="11788" max="11788" width="13.5703125" style="1178" customWidth="1"/>
    <col min="11789" max="11789" width="13.140625" style="1178" customWidth="1"/>
    <col min="11790" max="11790" width="12.7109375" style="1178" customWidth="1"/>
    <col min="11791" max="11791" width="15.5703125" style="1178" customWidth="1"/>
    <col min="11792" max="11792" width="10.5703125" style="1178" customWidth="1"/>
    <col min="11793" max="11793" width="19.28515625" style="1178" customWidth="1"/>
    <col min="11794" max="12032" width="9.140625" style="1178"/>
    <col min="12033" max="12033" width="6.140625" style="1178" customWidth="1"/>
    <col min="12034" max="12034" width="46.5703125" style="1178" customWidth="1"/>
    <col min="12035" max="12035" width="12.28515625" style="1178" customWidth="1"/>
    <col min="12036" max="12036" width="13.85546875" style="1178" customWidth="1"/>
    <col min="12037" max="12037" width="16" style="1178" customWidth="1"/>
    <col min="12038" max="12038" width="13" style="1178" customWidth="1"/>
    <col min="12039" max="12039" width="13.42578125" style="1178" customWidth="1"/>
    <col min="12040" max="12040" width="13.85546875" style="1178" customWidth="1"/>
    <col min="12041" max="12041" width="13.5703125" style="1178" customWidth="1"/>
    <col min="12042" max="12042" width="13.7109375" style="1178" customWidth="1"/>
    <col min="12043" max="12043" width="13.140625" style="1178" customWidth="1"/>
    <col min="12044" max="12044" width="13.5703125" style="1178" customWidth="1"/>
    <col min="12045" max="12045" width="13.140625" style="1178" customWidth="1"/>
    <col min="12046" max="12046" width="12.7109375" style="1178" customWidth="1"/>
    <col min="12047" max="12047" width="15.5703125" style="1178" customWidth="1"/>
    <col min="12048" max="12048" width="10.5703125" style="1178" customWidth="1"/>
    <col min="12049" max="12049" width="19.28515625" style="1178" customWidth="1"/>
    <col min="12050" max="12288" width="9.140625" style="1178"/>
    <col min="12289" max="12289" width="6.140625" style="1178" customWidth="1"/>
    <col min="12290" max="12290" width="46.5703125" style="1178" customWidth="1"/>
    <col min="12291" max="12291" width="12.28515625" style="1178" customWidth="1"/>
    <col min="12292" max="12292" width="13.85546875" style="1178" customWidth="1"/>
    <col min="12293" max="12293" width="16" style="1178" customWidth="1"/>
    <col min="12294" max="12294" width="13" style="1178" customWidth="1"/>
    <col min="12295" max="12295" width="13.42578125" style="1178" customWidth="1"/>
    <col min="12296" max="12296" width="13.85546875" style="1178" customWidth="1"/>
    <col min="12297" max="12297" width="13.5703125" style="1178" customWidth="1"/>
    <col min="12298" max="12298" width="13.7109375" style="1178" customWidth="1"/>
    <col min="12299" max="12299" width="13.140625" style="1178" customWidth="1"/>
    <col min="12300" max="12300" width="13.5703125" style="1178" customWidth="1"/>
    <col min="12301" max="12301" width="13.140625" style="1178" customWidth="1"/>
    <col min="12302" max="12302" width="12.7109375" style="1178" customWidth="1"/>
    <col min="12303" max="12303" width="15.5703125" style="1178" customWidth="1"/>
    <col min="12304" max="12304" width="10.5703125" style="1178" customWidth="1"/>
    <col min="12305" max="12305" width="19.28515625" style="1178" customWidth="1"/>
    <col min="12306" max="12544" width="9.140625" style="1178"/>
    <col min="12545" max="12545" width="6.140625" style="1178" customWidth="1"/>
    <col min="12546" max="12546" width="46.5703125" style="1178" customWidth="1"/>
    <col min="12547" max="12547" width="12.28515625" style="1178" customWidth="1"/>
    <col min="12548" max="12548" width="13.85546875" style="1178" customWidth="1"/>
    <col min="12549" max="12549" width="16" style="1178" customWidth="1"/>
    <col min="12550" max="12550" width="13" style="1178" customWidth="1"/>
    <col min="12551" max="12551" width="13.42578125" style="1178" customWidth="1"/>
    <col min="12552" max="12552" width="13.85546875" style="1178" customWidth="1"/>
    <col min="12553" max="12553" width="13.5703125" style="1178" customWidth="1"/>
    <col min="12554" max="12554" width="13.7109375" style="1178" customWidth="1"/>
    <col min="12555" max="12555" width="13.140625" style="1178" customWidth="1"/>
    <col min="12556" max="12556" width="13.5703125" style="1178" customWidth="1"/>
    <col min="12557" max="12557" width="13.140625" style="1178" customWidth="1"/>
    <col min="12558" max="12558" width="12.7109375" style="1178" customWidth="1"/>
    <col min="12559" max="12559" width="15.5703125" style="1178" customWidth="1"/>
    <col min="12560" max="12560" width="10.5703125" style="1178" customWidth="1"/>
    <col min="12561" max="12561" width="19.28515625" style="1178" customWidth="1"/>
    <col min="12562" max="12800" width="9.140625" style="1178"/>
    <col min="12801" max="12801" width="6.140625" style="1178" customWidth="1"/>
    <col min="12802" max="12802" width="46.5703125" style="1178" customWidth="1"/>
    <col min="12803" max="12803" width="12.28515625" style="1178" customWidth="1"/>
    <col min="12804" max="12804" width="13.85546875" style="1178" customWidth="1"/>
    <col min="12805" max="12805" width="16" style="1178" customWidth="1"/>
    <col min="12806" max="12806" width="13" style="1178" customWidth="1"/>
    <col min="12807" max="12807" width="13.42578125" style="1178" customWidth="1"/>
    <col min="12808" max="12808" width="13.85546875" style="1178" customWidth="1"/>
    <col min="12809" max="12809" width="13.5703125" style="1178" customWidth="1"/>
    <col min="12810" max="12810" width="13.7109375" style="1178" customWidth="1"/>
    <col min="12811" max="12811" width="13.140625" style="1178" customWidth="1"/>
    <col min="12812" max="12812" width="13.5703125" style="1178" customWidth="1"/>
    <col min="12813" max="12813" width="13.140625" style="1178" customWidth="1"/>
    <col min="12814" max="12814" width="12.7109375" style="1178" customWidth="1"/>
    <col min="12815" max="12815" width="15.5703125" style="1178" customWidth="1"/>
    <col min="12816" max="12816" width="10.5703125" style="1178" customWidth="1"/>
    <col min="12817" max="12817" width="19.28515625" style="1178" customWidth="1"/>
    <col min="12818" max="13056" width="9.140625" style="1178"/>
    <col min="13057" max="13057" width="6.140625" style="1178" customWidth="1"/>
    <col min="13058" max="13058" width="46.5703125" style="1178" customWidth="1"/>
    <col min="13059" max="13059" width="12.28515625" style="1178" customWidth="1"/>
    <col min="13060" max="13060" width="13.85546875" style="1178" customWidth="1"/>
    <col min="13061" max="13061" width="16" style="1178" customWidth="1"/>
    <col min="13062" max="13062" width="13" style="1178" customWidth="1"/>
    <col min="13063" max="13063" width="13.42578125" style="1178" customWidth="1"/>
    <col min="13064" max="13064" width="13.85546875" style="1178" customWidth="1"/>
    <col min="13065" max="13065" width="13.5703125" style="1178" customWidth="1"/>
    <col min="13066" max="13066" width="13.7109375" style="1178" customWidth="1"/>
    <col min="13067" max="13067" width="13.140625" style="1178" customWidth="1"/>
    <col min="13068" max="13068" width="13.5703125" style="1178" customWidth="1"/>
    <col min="13069" max="13069" width="13.140625" style="1178" customWidth="1"/>
    <col min="13070" max="13070" width="12.7109375" style="1178" customWidth="1"/>
    <col min="13071" max="13071" width="15.5703125" style="1178" customWidth="1"/>
    <col min="13072" max="13072" width="10.5703125" style="1178" customWidth="1"/>
    <col min="13073" max="13073" width="19.28515625" style="1178" customWidth="1"/>
    <col min="13074" max="13312" width="9.140625" style="1178"/>
    <col min="13313" max="13313" width="6.140625" style="1178" customWidth="1"/>
    <col min="13314" max="13314" width="46.5703125" style="1178" customWidth="1"/>
    <col min="13315" max="13315" width="12.28515625" style="1178" customWidth="1"/>
    <col min="13316" max="13316" width="13.85546875" style="1178" customWidth="1"/>
    <col min="13317" max="13317" width="16" style="1178" customWidth="1"/>
    <col min="13318" max="13318" width="13" style="1178" customWidth="1"/>
    <col min="13319" max="13319" width="13.42578125" style="1178" customWidth="1"/>
    <col min="13320" max="13320" width="13.85546875" style="1178" customWidth="1"/>
    <col min="13321" max="13321" width="13.5703125" style="1178" customWidth="1"/>
    <col min="13322" max="13322" width="13.7109375" style="1178" customWidth="1"/>
    <col min="13323" max="13323" width="13.140625" style="1178" customWidth="1"/>
    <col min="13324" max="13324" width="13.5703125" style="1178" customWidth="1"/>
    <col min="13325" max="13325" width="13.140625" style="1178" customWidth="1"/>
    <col min="13326" max="13326" width="12.7109375" style="1178" customWidth="1"/>
    <col min="13327" max="13327" width="15.5703125" style="1178" customWidth="1"/>
    <col min="13328" max="13328" width="10.5703125" style="1178" customWidth="1"/>
    <col min="13329" max="13329" width="19.28515625" style="1178" customWidth="1"/>
    <col min="13330" max="13568" width="9.140625" style="1178"/>
    <col min="13569" max="13569" width="6.140625" style="1178" customWidth="1"/>
    <col min="13570" max="13570" width="46.5703125" style="1178" customWidth="1"/>
    <col min="13571" max="13571" width="12.28515625" style="1178" customWidth="1"/>
    <col min="13572" max="13572" width="13.85546875" style="1178" customWidth="1"/>
    <col min="13573" max="13573" width="16" style="1178" customWidth="1"/>
    <col min="13574" max="13574" width="13" style="1178" customWidth="1"/>
    <col min="13575" max="13575" width="13.42578125" style="1178" customWidth="1"/>
    <col min="13576" max="13576" width="13.85546875" style="1178" customWidth="1"/>
    <col min="13577" max="13577" width="13.5703125" style="1178" customWidth="1"/>
    <col min="13578" max="13578" width="13.7109375" style="1178" customWidth="1"/>
    <col min="13579" max="13579" width="13.140625" style="1178" customWidth="1"/>
    <col min="13580" max="13580" width="13.5703125" style="1178" customWidth="1"/>
    <col min="13581" max="13581" width="13.140625" style="1178" customWidth="1"/>
    <col min="13582" max="13582" width="12.7109375" style="1178" customWidth="1"/>
    <col min="13583" max="13583" width="15.5703125" style="1178" customWidth="1"/>
    <col min="13584" max="13584" width="10.5703125" style="1178" customWidth="1"/>
    <col min="13585" max="13585" width="19.28515625" style="1178" customWidth="1"/>
    <col min="13586" max="13824" width="9.140625" style="1178"/>
    <col min="13825" max="13825" width="6.140625" style="1178" customWidth="1"/>
    <col min="13826" max="13826" width="46.5703125" style="1178" customWidth="1"/>
    <col min="13827" max="13827" width="12.28515625" style="1178" customWidth="1"/>
    <col min="13828" max="13828" width="13.85546875" style="1178" customWidth="1"/>
    <col min="13829" max="13829" width="16" style="1178" customWidth="1"/>
    <col min="13830" max="13830" width="13" style="1178" customWidth="1"/>
    <col min="13831" max="13831" width="13.42578125" style="1178" customWidth="1"/>
    <col min="13832" max="13832" width="13.85546875" style="1178" customWidth="1"/>
    <col min="13833" max="13833" width="13.5703125" style="1178" customWidth="1"/>
    <col min="13834" max="13834" width="13.7109375" style="1178" customWidth="1"/>
    <col min="13835" max="13835" width="13.140625" style="1178" customWidth="1"/>
    <col min="13836" max="13836" width="13.5703125" style="1178" customWidth="1"/>
    <col min="13837" max="13837" width="13.140625" style="1178" customWidth="1"/>
    <col min="13838" max="13838" width="12.7109375" style="1178" customWidth="1"/>
    <col min="13839" max="13839" width="15.5703125" style="1178" customWidth="1"/>
    <col min="13840" max="13840" width="10.5703125" style="1178" customWidth="1"/>
    <col min="13841" max="13841" width="19.28515625" style="1178" customWidth="1"/>
    <col min="13842" max="14080" width="9.140625" style="1178"/>
    <col min="14081" max="14081" width="6.140625" style="1178" customWidth="1"/>
    <col min="14082" max="14082" width="46.5703125" style="1178" customWidth="1"/>
    <col min="14083" max="14083" width="12.28515625" style="1178" customWidth="1"/>
    <col min="14084" max="14084" width="13.85546875" style="1178" customWidth="1"/>
    <col min="14085" max="14085" width="16" style="1178" customWidth="1"/>
    <col min="14086" max="14086" width="13" style="1178" customWidth="1"/>
    <col min="14087" max="14087" width="13.42578125" style="1178" customWidth="1"/>
    <col min="14088" max="14088" width="13.85546875" style="1178" customWidth="1"/>
    <col min="14089" max="14089" width="13.5703125" style="1178" customWidth="1"/>
    <col min="14090" max="14090" width="13.7109375" style="1178" customWidth="1"/>
    <col min="14091" max="14091" width="13.140625" style="1178" customWidth="1"/>
    <col min="14092" max="14092" width="13.5703125" style="1178" customWidth="1"/>
    <col min="14093" max="14093" width="13.140625" style="1178" customWidth="1"/>
    <col min="14094" max="14094" width="12.7109375" style="1178" customWidth="1"/>
    <col min="14095" max="14095" width="15.5703125" style="1178" customWidth="1"/>
    <col min="14096" max="14096" width="10.5703125" style="1178" customWidth="1"/>
    <col min="14097" max="14097" width="19.28515625" style="1178" customWidth="1"/>
    <col min="14098" max="14336" width="9.140625" style="1178"/>
    <col min="14337" max="14337" width="6.140625" style="1178" customWidth="1"/>
    <col min="14338" max="14338" width="46.5703125" style="1178" customWidth="1"/>
    <col min="14339" max="14339" width="12.28515625" style="1178" customWidth="1"/>
    <col min="14340" max="14340" width="13.85546875" style="1178" customWidth="1"/>
    <col min="14341" max="14341" width="16" style="1178" customWidth="1"/>
    <col min="14342" max="14342" width="13" style="1178" customWidth="1"/>
    <col min="14343" max="14343" width="13.42578125" style="1178" customWidth="1"/>
    <col min="14344" max="14344" width="13.85546875" style="1178" customWidth="1"/>
    <col min="14345" max="14345" width="13.5703125" style="1178" customWidth="1"/>
    <col min="14346" max="14346" width="13.7109375" style="1178" customWidth="1"/>
    <col min="14347" max="14347" width="13.140625" style="1178" customWidth="1"/>
    <col min="14348" max="14348" width="13.5703125" style="1178" customWidth="1"/>
    <col min="14349" max="14349" width="13.140625" style="1178" customWidth="1"/>
    <col min="14350" max="14350" width="12.7109375" style="1178" customWidth="1"/>
    <col min="14351" max="14351" width="15.5703125" style="1178" customWidth="1"/>
    <col min="14352" max="14352" width="10.5703125" style="1178" customWidth="1"/>
    <col min="14353" max="14353" width="19.28515625" style="1178" customWidth="1"/>
    <col min="14354" max="14592" width="9.140625" style="1178"/>
    <col min="14593" max="14593" width="6.140625" style="1178" customWidth="1"/>
    <col min="14594" max="14594" width="46.5703125" style="1178" customWidth="1"/>
    <col min="14595" max="14595" width="12.28515625" style="1178" customWidth="1"/>
    <col min="14596" max="14596" width="13.85546875" style="1178" customWidth="1"/>
    <col min="14597" max="14597" width="16" style="1178" customWidth="1"/>
    <col min="14598" max="14598" width="13" style="1178" customWidth="1"/>
    <col min="14599" max="14599" width="13.42578125" style="1178" customWidth="1"/>
    <col min="14600" max="14600" width="13.85546875" style="1178" customWidth="1"/>
    <col min="14601" max="14601" width="13.5703125" style="1178" customWidth="1"/>
    <col min="14602" max="14602" width="13.7109375" style="1178" customWidth="1"/>
    <col min="14603" max="14603" width="13.140625" style="1178" customWidth="1"/>
    <col min="14604" max="14604" width="13.5703125" style="1178" customWidth="1"/>
    <col min="14605" max="14605" width="13.140625" style="1178" customWidth="1"/>
    <col min="14606" max="14606" width="12.7109375" style="1178" customWidth="1"/>
    <col min="14607" max="14607" width="15.5703125" style="1178" customWidth="1"/>
    <col min="14608" max="14608" width="10.5703125" style="1178" customWidth="1"/>
    <col min="14609" max="14609" width="19.28515625" style="1178" customWidth="1"/>
    <col min="14610" max="14848" width="9.140625" style="1178"/>
    <col min="14849" max="14849" width="6.140625" style="1178" customWidth="1"/>
    <col min="14850" max="14850" width="46.5703125" style="1178" customWidth="1"/>
    <col min="14851" max="14851" width="12.28515625" style="1178" customWidth="1"/>
    <col min="14852" max="14852" width="13.85546875" style="1178" customWidth="1"/>
    <col min="14853" max="14853" width="16" style="1178" customWidth="1"/>
    <col min="14854" max="14854" width="13" style="1178" customWidth="1"/>
    <col min="14855" max="14855" width="13.42578125" style="1178" customWidth="1"/>
    <col min="14856" max="14856" width="13.85546875" style="1178" customWidth="1"/>
    <col min="14857" max="14857" width="13.5703125" style="1178" customWidth="1"/>
    <col min="14858" max="14858" width="13.7109375" style="1178" customWidth="1"/>
    <col min="14859" max="14859" width="13.140625" style="1178" customWidth="1"/>
    <col min="14860" max="14860" width="13.5703125" style="1178" customWidth="1"/>
    <col min="14861" max="14861" width="13.140625" style="1178" customWidth="1"/>
    <col min="14862" max="14862" width="12.7109375" style="1178" customWidth="1"/>
    <col min="14863" max="14863" width="15.5703125" style="1178" customWidth="1"/>
    <col min="14864" max="14864" width="10.5703125" style="1178" customWidth="1"/>
    <col min="14865" max="14865" width="19.28515625" style="1178" customWidth="1"/>
    <col min="14866" max="15104" width="9.140625" style="1178"/>
    <col min="15105" max="15105" width="6.140625" style="1178" customWidth="1"/>
    <col min="15106" max="15106" width="46.5703125" style="1178" customWidth="1"/>
    <col min="15107" max="15107" width="12.28515625" style="1178" customWidth="1"/>
    <col min="15108" max="15108" width="13.85546875" style="1178" customWidth="1"/>
    <col min="15109" max="15109" width="16" style="1178" customWidth="1"/>
    <col min="15110" max="15110" width="13" style="1178" customWidth="1"/>
    <col min="15111" max="15111" width="13.42578125" style="1178" customWidth="1"/>
    <col min="15112" max="15112" width="13.85546875" style="1178" customWidth="1"/>
    <col min="15113" max="15113" width="13.5703125" style="1178" customWidth="1"/>
    <col min="15114" max="15114" width="13.7109375" style="1178" customWidth="1"/>
    <col min="15115" max="15115" width="13.140625" style="1178" customWidth="1"/>
    <col min="15116" max="15116" width="13.5703125" style="1178" customWidth="1"/>
    <col min="15117" max="15117" width="13.140625" style="1178" customWidth="1"/>
    <col min="15118" max="15118" width="12.7109375" style="1178" customWidth="1"/>
    <col min="15119" max="15119" width="15.5703125" style="1178" customWidth="1"/>
    <col min="15120" max="15120" width="10.5703125" style="1178" customWidth="1"/>
    <col min="15121" max="15121" width="19.28515625" style="1178" customWidth="1"/>
    <col min="15122" max="15360" width="9.140625" style="1178"/>
    <col min="15361" max="15361" width="6.140625" style="1178" customWidth="1"/>
    <col min="15362" max="15362" width="46.5703125" style="1178" customWidth="1"/>
    <col min="15363" max="15363" width="12.28515625" style="1178" customWidth="1"/>
    <col min="15364" max="15364" width="13.85546875" style="1178" customWidth="1"/>
    <col min="15365" max="15365" width="16" style="1178" customWidth="1"/>
    <col min="15366" max="15366" width="13" style="1178" customWidth="1"/>
    <col min="15367" max="15367" width="13.42578125" style="1178" customWidth="1"/>
    <col min="15368" max="15368" width="13.85546875" style="1178" customWidth="1"/>
    <col min="15369" max="15369" width="13.5703125" style="1178" customWidth="1"/>
    <col min="15370" max="15370" width="13.7109375" style="1178" customWidth="1"/>
    <col min="15371" max="15371" width="13.140625" style="1178" customWidth="1"/>
    <col min="15372" max="15372" width="13.5703125" style="1178" customWidth="1"/>
    <col min="15373" max="15373" width="13.140625" style="1178" customWidth="1"/>
    <col min="15374" max="15374" width="12.7109375" style="1178" customWidth="1"/>
    <col min="15375" max="15375" width="15.5703125" style="1178" customWidth="1"/>
    <col min="15376" max="15376" width="10.5703125" style="1178" customWidth="1"/>
    <col min="15377" max="15377" width="19.28515625" style="1178" customWidth="1"/>
    <col min="15378" max="15616" width="9.140625" style="1178"/>
    <col min="15617" max="15617" width="6.140625" style="1178" customWidth="1"/>
    <col min="15618" max="15618" width="46.5703125" style="1178" customWidth="1"/>
    <col min="15619" max="15619" width="12.28515625" style="1178" customWidth="1"/>
    <col min="15620" max="15620" width="13.85546875" style="1178" customWidth="1"/>
    <col min="15621" max="15621" width="16" style="1178" customWidth="1"/>
    <col min="15622" max="15622" width="13" style="1178" customWidth="1"/>
    <col min="15623" max="15623" width="13.42578125" style="1178" customWidth="1"/>
    <col min="15624" max="15624" width="13.85546875" style="1178" customWidth="1"/>
    <col min="15625" max="15625" width="13.5703125" style="1178" customWidth="1"/>
    <col min="15626" max="15626" width="13.7109375" style="1178" customWidth="1"/>
    <col min="15627" max="15627" width="13.140625" style="1178" customWidth="1"/>
    <col min="15628" max="15628" width="13.5703125" style="1178" customWidth="1"/>
    <col min="15629" max="15629" width="13.140625" style="1178" customWidth="1"/>
    <col min="15630" max="15630" width="12.7109375" style="1178" customWidth="1"/>
    <col min="15631" max="15631" width="15.5703125" style="1178" customWidth="1"/>
    <col min="15632" max="15632" width="10.5703125" style="1178" customWidth="1"/>
    <col min="15633" max="15633" width="19.28515625" style="1178" customWidth="1"/>
    <col min="15634" max="15872" width="9.140625" style="1178"/>
    <col min="15873" max="15873" width="6.140625" style="1178" customWidth="1"/>
    <col min="15874" max="15874" width="46.5703125" style="1178" customWidth="1"/>
    <col min="15875" max="15875" width="12.28515625" style="1178" customWidth="1"/>
    <col min="15876" max="15876" width="13.85546875" style="1178" customWidth="1"/>
    <col min="15877" max="15877" width="16" style="1178" customWidth="1"/>
    <col min="15878" max="15878" width="13" style="1178" customWidth="1"/>
    <col min="15879" max="15879" width="13.42578125" style="1178" customWidth="1"/>
    <col min="15880" max="15880" width="13.85546875" style="1178" customWidth="1"/>
    <col min="15881" max="15881" width="13.5703125" style="1178" customWidth="1"/>
    <col min="15882" max="15882" width="13.7109375" style="1178" customWidth="1"/>
    <col min="15883" max="15883" width="13.140625" style="1178" customWidth="1"/>
    <col min="15884" max="15884" width="13.5703125" style="1178" customWidth="1"/>
    <col min="15885" max="15885" width="13.140625" style="1178" customWidth="1"/>
    <col min="15886" max="15886" width="12.7109375" style="1178" customWidth="1"/>
    <col min="15887" max="15887" width="15.5703125" style="1178" customWidth="1"/>
    <col min="15888" max="15888" width="10.5703125" style="1178" customWidth="1"/>
    <col min="15889" max="15889" width="19.28515625" style="1178" customWidth="1"/>
    <col min="15890" max="16128" width="9.140625" style="1178"/>
    <col min="16129" max="16129" width="6.140625" style="1178" customWidth="1"/>
    <col min="16130" max="16130" width="46.5703125" style="1178" customWidth="1"/>
    <col min="16131" max="16131" width="12.28515625" style="1178" customWidth="1"/>
    <col min="16132" max="16132" width="13.85546875" style="1178" customWidth="1"/>
    <col min="16133" max="16133" width="16" style="1178" customWidth="1"/>
    <col min="16134" max="16134" width="13" style="1178" customWidth="1"/>
    <col min="16135" max="16135" width="13.42578125" style="1178" customWidth="1"/>
    <col min="16136" max="16136" width="13.85546875" style="1178" customWidth="1"/>
    <col min="16137" max="16137" width="13.5703125" style="1178" customWidth="1"/>
    <col min="16138" max="16138" width="13.7109375" style="1178" customWidth="1"/>
    <col min="16139" max="16139" width="13.140625" style="1178" customWidth="1"/>
    <col min="16140" max="16140" width="13.5703125" style="1178" customWidth="1"/>
    <col min="16141" max="16141" width="13.140625" style="1178" customWidth="1"/>
    <col min="16142" max="16142" width="12.7109375" style="1178" customWidth="1"/>
    <col min="16143" max="16143" width="15.5703125" style="1178" customWidth="1"/>
    <col min="16144" max="16144" width="10.5703125" style="1178" customWidth="1"/>
    <col min="16145" max="16145" width="19.28515625" style="1178" customWidth="1"/>
    <col min="16146" max="16384" width="9.140625" style="1178"/>
  </cols>
  <sheetData>
    <row r="1" spans="1:16" ht="15" customHeight="1">
      <c r="A1" s="1176"/>
    </row>
    <row r="2" spans="1:16" ht="15" customHeight="1" thickBot="1">
      <c r="A2" s="1179" t="s">
        <v>236</v>
      </c>
    </row>
    <row r="3" spans="1:16" ht="15" customHeight="1" thickTop="1">
      <c r="A3" s="1180" t="s">
        <v>223</v>
      </c>
      <c r="B3" s="1181"/>
      <c r="C3" s="1181"/>
      <c r="D3" s="1181"/>
      <c r="E3" s="1181"/>
      <c r="F3" s="1181"/>
      <c r="G3" s="1181"/>
      <c r="H3" s="1181"/>
      <c r="I3" s="1181"/>
      <c r="J3" s="1181"/>
      <c r="K3" s="1182"/>
      <c r="L3" s="1183"/>
      <c r="M3" s="1184"/>
      <c r="N3" s="1184"/>
      <c r="O3" s="1185"/>
      <c r="P3" s="1186"/>
    </row>
    <row r="4" spans="1:16" ht="15" customHeight="1">
      <c r="A4" s="1187" t="s">
        <v>973</v>
      </c>
      <c r="B4" s="1188"/>
      <c r="C4" s="1189"/>
      <c r="D4" s="1189"/>
      <c r="E4" s="1189"/>
      <c r="F4" s="1189"/>
      <c r="G4" s="1189"/>
      <c r="H4" s="1189"/>
      <c r="I4" s="1189"/>
      <c r="J4" s="1189"/>
      <c r="K4" s="1189"/>
      <c r="L4" s="1189"/>
      <c r="M4" s="1189"/>
      <c r="N4" s="1189"/>
      <c r="O4" s="1190"/>
      <c r="P4" s="1191"/>
    </row>
    <row r="5" spans="1:16" ht="15" customHeight="1">
      <c r="A5" s="1192"/>
      <c r="B5" s="1188"/>
      <c r="C5" s="1193"/>
      <c r="D5" s="1194" t="s">
        <v>74</v>
      </c>
      <c r="E5" s="1194" t="s">
        <v>72</v>
      </c>
      <c r="F5" s="1195"/>
      <c r="G5" s="1195"/>
      <c r="H5" s="1195"/>
      <c r="I5" s="1195"/>
      <c r="J5" s="1195"/>
      <c r="K5" s="1196"/>
      <c r="L5" s="1195"/>
      <c r="M5" s="1195"/>
      <c r="N5" s="1197" t="s">
        <v>1068</v>
      </c>
      <c r="O5" s="1198"/>
      <c r="P5" s="1199"/>
    </row>
    <row r="6" spans="1:16" ht="15" customHeight="1">
      <c r="A6" s="1200"/>
      <c r="B6" s="1201"/>
      <c r="C6" s="1202" t="s">
        <v>208</v>
      </c>
      <c r="D6" s="1203"/>
      <c r="E6" s="1204"/>
      <c r="F6" s="1205"/>
      <c r="G6" s="1205"/>
      <c r="H6" s="1205"/>
      <c r="I6" s="1205"/>
      <c r="J6" s="1205"/>
      <c r="K6" s="1205"/>
      <c r="L6" s="1205"/>
      <c r="M6" s="1205"/>
      <c r="N6" s="1206" t="s">
        <v>234</v>
      </c>
      <c r="O6" s="1207"/>
      <c r="P6" s="1199"/>
    </row>
    <row r="7" spans="1:16" ht="15" customHeight="1">
      <c r="A7" s="1208"/>
      <c r="B7" s="1209"/>
      <c r="C7" s="1210"/>
      <c r="D7" s="1211"/>
      <c r="E7" s="1212"/>
      <c r="F7" s="1213"/>
      <c r="G7" s="1213"/>
      <c r="H7" s="1213"/>
      <c r="I7" s="1213"/>
      <c r="J7" s="1213"/>
      <c r="K7" s="1213"/>
      <c r="L7" s="1213"/>
      <c r="M7" s="1213"/>
      <c r="N7" s="1214" t="s">
        <v>219</v>
      </c>
      <c r="O7" s="1207"/>
      <c r="P7" s="1199"/>
    </row>
    <row r="8" spans="1:16" ht="15" customHeight="1">
      <c r="A8" s="1793" t="s">
        <v>974</v>
      </c>
      <c r="B8" s="1794"/>
      <c r="C8" s="1215">
        <v>0.15</v>
      </c>
      <c r="D8" s="1216">
        <v>0.15</v>
      </c>
      <c r="E8" s="1216">
        <v>0.1</v>
      </c>
      <c r="F8" s="1216">
        <v>0.1</v>
      </c>
      <c r="G8" s="1216">
        <v>0.1</v>
      </c>
      <c r="H8" s="1216">
        <v>0.1</v>
      </c>
      <c r="I8" s="1216">
        <v>0.1</v>
      </c>
      <c r="J8" s="1216">
        <v>0.1</v>
      </c>
      <c r="K8" s="1216">
        <v>0.05</v>
      </c>
      <c r="L8" s="1216">
        <v>0.05</v>
      </c>
      <c r="M8" s="1216">
        <v>0</v>
      </c>
      <c r="N8" s="1217">
        <v>0</v>
      </c>
      <c r="O8" s="1218">
        <f>SUM(C8:N8)</f>
        <v>1</v>
      </c>
      <c r="P8" s="1199"/>
    </row>
    <row r="9" spans="1:16" ht="15" customHeight="1">
      <c r="A9" s="1793" t="s">
        <v>975</v>
      </c>
      <c r="B9" s="1794"/>
      <c r="C9" s="1215">
        <v>0.1</v>
      </c>
      <c r="D9" s="1216">
        <v>0.1</v>
      </c>
      <c r="E9" s="1216">
        <v>0.1</v>
      </c>
      <c r="F9" s="1216">
        <v>0.1</v>
      </c>
      <c r="G9" s="1216">
        <v>0.1</v>
      </c>
      <c r="H9" s="1216">
        <v>0.1</v>
      </c>
      <c r="I9" s="1216">
        <v>0.1</v>
      </c>
      <c r="J9" s="1216">
        <v>0.1</v>
      </c>
      <c r="K9" s="1216">
        <v>0.05</v>
      </c>
      <c r="L9" s="1216">
        <v>0.05</v>
      </c>
      <c r="M9" s="1216">
        <v>0.05</v>
      </c>
      <c r="N9" s="1216">
        <v>0.05</v>
      </c>
      <c r="O9" s="1219">
        <f>SUM(C9:N9)</f>
        <v>1</v>
      </c>
      <c r="P9" s="1220"/>
    </row>
    <row r="10" spans="1:16" ht="15" customHeight="1" thickBot="1">
      <c r="A10" s="1795" t="s">
        <v>976</v>
      </c>
      <c r="B10" s="1796"/>
      <c r="C10" s="1221">
        <v>0.09</v>
      </c>
      <c r="D10" s="1222">
        <v>0.09</v>
      </c>
      <c r="E10" s="1223">
        <v>8.5000000000000006E-2</v>
      </c>
      <c r="F10" s="1223">
        <v>8.2000000000000003E-2</v>
      </c>
      <c r="G10" s="1223">
        <v>8.2000000000000003E-2</v>
      </c>
      <c r="H10" s="1223">
        <v>8.2000000000000003E-2</v>
      </c>
      <c r="I10" s="1223">
        <v>8.2000000000000003E-2</v>
      </c>
      <c r="J10" s="1223">
        <v>0.08</v>
      </c>
      <c r="K10" s="1223">
        <v>0.08</v>
      </c>
      <c r="L10" s="1223">
        <v>0.08</v>
      </c>
      <c r="M10" s="1223">
        <v>8.2000000000000003E-2</v>
      </c>
      <c r="N10" s="1224">
        <v>8.5000000000000006E-2</v>
      </c>
      <c r="O10" s="1225">
        <f>SUM(C10:N10)</f>
        <v>0.99999999999999978</v>
      </c>
      <c r="P10" s="1186"/>
    </row>
    <row r="11" spans="1:16" ht="15" customHeight="1">
      <c r="A11" s="1226" t="s">
        <v>74</v>
      </c>
      <c r="B11" s="1227" t="s">
        <v>129</v>
      </c>
      <c r="C11" s="1227" t="s">
        <v>130</v>
      </c>
      <c r="D11" s="1227" t="s">
        <v>131</v>
      </c>
      <c r="E11" s="1227" t="s">
        <v>132</v>
      </c>
      <c r="F11" s="1227" t="s">
        <v>133</v>
      </c>
      <c r="G11" s="1227" t="s">
        <v>134</v>
      </c>
      <c r="H11" s="1227" t="s">
        <v>135</v>
      </c>
      <c r="I11" s="1227" t="s">
        <v>136</v>
      </c>
      <c r="J11" s="1227" t="s">
        <v>137</v>
      </c>
      <c r="K11" s="1227" t="s">
        <v>138</v>
      </c>
      <c r="L11" s="1227" t="s">
        <v>139</v>
      </c>
      <c r="M11" s="1227" t="s">
        <v>140</v>
      </c>
      <c r="N11" s="1228" t="s">
        <v>141</v>
      </c>
      <c r="O11" s="1229" t="s">
        <v>115</v>
      </c>
      <c r="P11" s="1230"/>
    </row>
    <row r="12" spans="1:16" ht="15" customHeight="1">
      <c r="A12" s="1379">
        <v>1</v>
      </c>
      <c r="B12" s="1270" t="s">
        <v>977</v>
      </c>
      <c r="C12" s="1231"/>
      <c r="D12" s="1231"/>
      <c r="E12" s="1231"/>
      <c r="F12" s="1231"/>
      <c r="G12" s="1231"/>
      <c r="H12" s="1231"/>
      <c r="I12" s="1231"/>
      <c r="J12" s="1231"/>
      <c r="K12" s="1231"/>
      <c r="L12" s="1231"/>
      <c r="M12" s="1231"/>
      <c r="N12" s="1231"/>
      <c r="O12" s="1232"/>
      <c r="P12" s="1233"/>
    </row>
    <row r="13" spans="1:16" ht="12.75" customHeight="1">
      <c r="A13" s="1380">
        <v>600</v>
      </c>
      <c r="B13" s="1235"/>
      <c r="C13" s="1381"/>
      <c r="D13" s="1381"/>
      <c r="E13" s="1381"/>
      <c r="F13" s="1381"/>
      <c r="G13" s="1381"/>
      <c r="H13" s="1381"/>
      <c r="I13" s="1381"/>
      <c r="J13" s="1381"/>
      <c r="K13" s="1381"/>
      <c r="L13" s="1381"/>
      <c r="M13" s="1381"/>
      <c r="N13" s="1381"/>
      <c r="O13" s="1382">
        <f>SUM(C13:N13)</f>
        <v>0</v>
      </c>
      <c r="P13" s="1237"/>
    </row>
    <row r="14" spans="1:16" ht="15" hidden="1" customHeight="1">
      <c r="A14" s="1383">
        <v>601</v>
      </c>
      <c r="B14" s="1239"/>
      <c r="C14" s="1377"/>
      <c r="D14" s="1377"/>
      <c r="E14" s="1377"/>
      <c r="F14" s="1377"/>
      <c r="G14" s="1377"/>
      <c r="H14" s="1377"/>
      <c r="I14" s="1377"/>
      <c r="J14" s="1377"/>
      <c r="K14" s="1377"/>
      <c r="L14" s="1377"/>
      <c r="M14" s="1377"/>
      <c r="N14" s="1377"/>
      <c r="O14" s="1384">
        <f t="shared" ref="O14:O23" si="0">SUM(C14:N14)</f>
        <v>0</v>
      </c>
      <c r="P14" s="1237"/>
    </row>
    <row r="15" spans="1:16" ht="15" hidden="1" customHeight="1">
      <c r="A15" s="1383">
        <v>602</v>
      </c>
      <c r="B15" s="1239"/>
      <c r="C15" s="1377"/>
      <c r="D15" s="1377"/>
      <c r="E15" s="1377"/>
      <c r="F15" s="1377"/>
      <c r="G15" s="1377"/>
      <c r="H15" s="1377"/>
      <c r="I15" s="1377"/>
      <c r="J15" s="1377"/>
      <c r="K15" s="1377"/>
      <c r="L15" s="1377"/>
      <c r="M15" s="1377"/>
      <c r="N15" s="1377"/>
      <c r="O15" s="1384">
        <f t="shared" si="0"/>
        <v>0</v>
      </c>
      <c r="P15" s="1237"/>
    </row>
    <row r="16" spans="1:16" ht="15" hidden="1" customHeight="1">
      <c r="A16" s="1383">
        <v>603</v>
      </c>
      <c r="B16" s="1239"/>
      <c r="C16" s="1377"/>
      <c r="D16" s="1377"/>
      <c r="E16" s="1377"/>
      <c r="F16" s="1377"/>
      <c r="G16" s="1377"/>
      <c r="H16" s="1377"/>
      <c r="I16" s="1377"/>
      <c r="J16" s="1377"/>
      <c r="K16" s="1377"/>
      <c r="L16" s="1377"/>
      <c r="M16" s="1377"/>
      <c r="N16" s="1377"/>
      <c r="O16" s="1384">
        <f t="shared" si="0"/>
        <v>0</v>
      </c>
      <c r="P16" s="1237"/>
    </row>
    <row r="17" spans="1:17" ht="15" hidden="1" customHeight="1">
      <c r="A17" s="1383">
        <v>604</v>
      </c>
      <c r="B17" s="1239"/>
      <c r="C17" s="1377"/>
      <c r="D17" s="1377"/>
      <c r="E17" s="1377"/>
      <c r="F17" s="1377"/>
      <c r="G17" s="1377"/>
      <c r="H17" s="1377"/>
      <c r="I17" s="1377"/>
      <c r="J17" s="1377"/>
      <c r="K17" s="1377"/>
      <c r="L17" s="1377"/>
      <c r="M17" s="1377"/>
      <c r="N17" s="1377"/>
      <c r="O17" s="1384">
        <f t="shared" si="0"/>
        <v>0</v>
      </c>
      <c r="P17" s="1237"/>
    </row>
    <row r="18" spans="1:17" ht="15" hidden="1" customHeight="1">
      <c r="A18" s="1383">
        <v>605</v>
      </c>
      <c r="B18" s="1239"/>
      <c r="C18" s="1377"/>
      <c r="D18" s="1377"/>
      <c r="E18" s="1377"/>
      <c r="F18" s="1377"/>
      <c r="G18" s="1377"/>
      <c r="H18" s="1377"/>
      <c r="I18" s="1377"/>
      <c r="J18" s="1377"/>
      <c r="K18" s="1377"/>
      <c r="L18" s="1377"/>
      <c r="M18" s="1377"/>
      <c r="N18" s="1377"/>
      <c r="O18" s="1384">
        <f t="shared" si="0"/>
        <v>0</v>
      </c>
      <c r="P18" s="1237"/>
    </row>
    <row r="19" spans="1:17" ht="15" hidden="1" customHeight="1">
      <c r="A19" s="1383">
        <v>606</v>
      </c>
      <c r="B19" s="1239"/>
      <c r="C19" s="1377"/>
      <c r="D19" s="1377"/>
      <c r="E19" s="1377"/>
      <c r="F19" s="1377"/>
      <c r="G19" s="1377"/>
      <c r="H19" s="1377"/>
      <c r="I19" s="1377"/>
      <c r="J19" s="1377"/>
      <c r="K19" s="1377"/>
      <c r="L19" s="1377"/>
      <c r="M19" s="1377"/>
      <c r="N19" s="1377"/>
      <c r="O19" s="1384">
        <f t="shared" si="0"/>
        <v>0</v>
      </c>
      <c r="P19" s="1237"/>
    </row>
    <row r="20" spans="1:17" ht="15" hidden="1" customHeight="1">
      <c r="A20" s="1383">
        <v>230</v>
      </c>
      <c r="B20" s="1239"/>
      <c r="C20" s="1377"/>
      <c r="D20" s="1377"/>
      <c r="E20" s="1377"/>
      <c r="F20" s="1377"/>
      <c r="G20" s="1377"/>
      <c r="H20" s="1377"/>
      <c r="I20" s="1377"/>
      <c r="J20" s="1377"/>
      <c r="K20" s="1377"/>
      <c r="L20" s="1377"/>
      <c r="M20" s="1377"/>
      <c r="N20" s="1377"/>
      <c r="O20" s="1384">
        <f t="shared" si="0"/>
        <v>0</v>
      </c>
      <c r="P20" s="1237"/>
    </row>
    <row r="21" spans="1:17" ht="15" hidden="1" customHeight="1">
      <c r="A21" s="1383">
        <v>231</v>
      </c>
      <c r="B21" s="1239"/>
      <c r="C21" s="1377"/>
      <c r="D21" s="1377"/>
      <c r="E21" s="1377"/>
      <c r="F21" s="1377"/>
      <c r="G21" s="1377"/>
      <c r="H21" s="1377"/>
      <c r="I21" s="1377"/>
      <c r="J21" s="1377"/>
      <c r="K21" s="1377"/>
      <c r="L21" s="1377"/>
      <c r="M21" s="1377"/>
      <c r="N21" s="1377"/>
      <c r="O21" s="1384">
        <f t="shared" si="0"/>
        <v>0</v>
      </c>
      <c r="P21" s="1237"/>
    </row>
    <row r="22" spans="1:17" ht="15" hidden="1" customHeight="1">
      <c r="A22" s="1383">
        <v>230</v>
      </c>
      <c r="B22" s="1239"/>
      <c r="C22" s="1378"/>
      <c r="D22" s="1378"/>
      <c r="E22" s="1378"/>
      <c r="F22" s="1378"/>
      <c r="G22" s="1378"/>
      <c r="H22" s="1378"/>
      <c r="I22" s="1378"/>
      <c r="J22" s="1378"/>
      <c r="K22" s="1378"/>
      <c r="L22" s="1378"/>
      <c r="M22" s="1378"/>
      <c r="N22" s="1378"/>
      <c r="O22" s="1384">
        <f t="shared" si="0"/>
        <v>0</v>
      </c>
      <c r="P22" s="1237"/>
    </row>
    <row r="23" spans="1:17" ht="15" hidden="1" customHeight="1">
      <c r="A23" s="1385">
        <v>231</v>
      </c>
      <c r="B23" s="1266"/>
      <c r="C23" s="1386"/>
      <c r="D23" s="1386"/>
      <c r="E23" s="1386"/>
      <c r="F23" s="1386"/>
      <c r="G23" s="1386"/>
      <c r="H23" s="1386"/>
      <c r="I23" s="1386"/>
      <c r="J23" s="1386"/>
      <c r="K23" s="1386"/>
      <c r="L23" s="1386"/>
      <c r="M23" s="1386"/>
      <c r="N23" s="1386"/>
      <c r="O23" s="1387">
        <f t="shared" si="0"/>
        <v>0</v>
      </c>
      <c r="P23" s="1241">
        <v>0</v>
      </c>
      <c r="Q23" s="1242"/>
    </row>
    <row r="24" spans="1:17" ht="15" hidden="1" customHeight="1" thickBot="1">
      <c r="A24" s="1243"/>
      <c r="B24" s="1244"/>
      <c r="C24" s="1245"/>
      <c r="D24" s="1245"/>
      <c r="E24" s="1245"/>
      <c r="F24" s="1245"/>
      <c r="G24" s="1245"/>
      <c r="H24" s="1245"/>
      <c r="I24" s="1245"/>
      <c r="J24" s="1245"/>
      <c r="K24" s="1245"/>
      <c r="L24" s="1245"/>
      <c r="M24" s="1245"/>
      <c r="N24" s="1245"/>
      <c r="O24" s="1246">
        <f>SUM(O13:O23)</f>
        <v>0</v>
      </c>
      <c r="P24" s="1247">
        <v>0</v>
      </c>
    </row>
    <row r="25" spans="1:17" ht="15" hidden="1" customHeight="1">
      <c r="A25" s="1248">
        <v>2</v>
      </c>
      <c r="B25" s="1249"/>
      <c r="C25" s="1250"/>
      <c r="D25" s="1250"/>
      <c r="E25" s="1250"/>
      <c r="F25" s="1250"/>
      <c r="G25" s="1250"/>
      <c r="H25" s="1250"/>
      <c r="I25" s="1250"/>
      <c r="J25" s="1250"/>
      <c r="K25" s="1250"/>
      <c r="L25" s="1250"/>
      <c r="M25" s="1250"/>
      <c r="N25" s="1250"/>
      <c r="O25" s="1251">
        <v>0</v>
      </c>
      <c r="P25" s="1252">
        <v>0</v>
      </c>
    </row>
    <row r="26" spans="1:17" ht="15" hidden="1" customHeight="1">
      <c r="A26" s="1380">
        <v>600</v>
      </c>
      <c r="B26" s="1235"/>
      <c r="C26" s="1381"/>
      <c r="D26" s="1381"/>
      <c r="E26" s="1381"/>
      <c r="F26" s="1381"/>
      <c r="G26" s="1381"/>
      <c r="H26" s="1381"/>
      <c r="I26" s="1381"/>
      <c r="J26" s="1381"/>
      <c r="K26" s="1381"/>
      <c r="L26" s="1381"/>
      <c r="M26" s="1381"/>
      <c r="N26" s="1381"/>
      <c r="O26" s="1236">
        <f>SUM(C26:N26)</f>
        <v>0</v>
      </c>
      <c r="P26" s="1237"/>
    </row>
    <row r="27" spans="1:17" ht="15" hidden="1" customHeight="1">
      <c r="A27" s="1383">
        <v>601</v>
      </c>
      <c r="B27" s="1253"/>
      <c r="C27" s="1377"/>
      <c r="D27" s="1377"/>
      <c r="E27" s="1377"/>
      <c r="F27" s="1377"/>
      <c r="G27" s="1377"/>
      <c r="H27" s="1377"/>
      <c r="I27" s="1377"/>
      <c r="J27" s="1377"/>
      <c r="K27" s="1377"/>
      <c r="L27" s="1377"/>
      <c r="M27" s="1377"/>
      <c r="N27" s="1377"/>
      <c r="O27" s="1240">
        <f t="shared" ref="O27:O36" si="1">SUM(C27:N27)</f>
        <v>0</v>
      </c>
      <c r="P27" s="1237"/>
    </row>
    <row r="28" spans="1:17" ht="15" hidden="1" customHeight="1">
      <c r="A28" s="1383">
        <v>602</v>
      </c>
      <c r="B28" s="1239"/>
      <c r="C28" s="1377"/>
      <c r="D28" s="1377"/>
      <c r="E28" s="1377"/>
      <c r="F28" s="1377"/>
      <c r="G28" s="1377"/>
      <c r="H28" s="1377"/>
      <c r="I28" s="1377"/>
      <c r="J28" s="1377"/>
      <c r="K28" s="1377"/>
      <c r="L28" s="1377"/>
      <c r="M28" s="1377"/>
      <c r="N28" s="1377"/>
      <c r="O28" s="1240">
        <f t="shared" si="1"/>
        <v>0</v>
      </c>
      <c r="P28" s="1237"/>
    </row>
    <row r="29" spans="1:17" ht="15" hidden="1" customHeight="1">
      <c r="A29" s="1383">
        <v>603</v>
      </c>
      <c r="B29" s="1239"/>
      <c r="C29" s="1377"/>
      <c r="D29" s="1377"/>
      <c r="E29" s="1377"/>
      <c r="F29" s="1377"/>
      <c r="G29" s="1377"/>
      <c r="H29" s="1377"/>
      <c r="I29" s="1377"/>
      <c r="J29" s="1377"/>
      <c r="K29" s="1377"/>
      <c r="L29" s="1377"/>
      <c r="M29" s="1377"/>
      <c r="N29" s="1377"/>
      <c r="O29" s="1240">
        <f t="shared" si="1"/>
        <v>0</v>
      </c>
      <c r="P29" s="1254"/>
    </row>
    <row r="30" spans="1:17" ht="15" hidden="1" customHeight="1">
      <c r="A30" s="1383">
        <v>604</v>
      </c>
      <c r="B30" s="1239"/>
      <c r="C30" s="1377"/>
      <c r="D30" s="1377"/>
      <c r="E30" s="1377"/>
      <c r="F30" s="1377"/>
      <c r="G30" s="1377"/>
      <c r="H30" s="1377"/>
      <c r="I30" s="1377"/>
      <c r="J30" s="1377"/>
      <c r="K30" s="1377"/>
      <c r="L30" s="1377"/>
      <c r="M30" s="1377"/>
      <c r="N30" s="1377"/>
      <c r="O30" s="1240">
        <f t="shared" si="1"/>
        <v>0</v>
      </c>
      <c r="P30" s="1254"/>
    </row>
    <row r="31" spans="1:17" ht="15" hidden="1" customHeight="1">
      <c r="A31" s="1383">
        <v>605</v>
      </c>
      <c r="B31" s="1239"/>
      <c r="C31" s="1377"/>
      <c r="D31" s="1377"/>
      <c r="E31" s="1377"/>
      <c r="F31" s="1377"/>
      <c r="G31" s="1377"/>
      <c r="H31" s="1377"/>
      <c r="I31" s="1377"/>
      <c r="J31" s="1377"/>
      <c r="K31" s="1377"/>
      <c r="L31" s="1377"/>
      <c r="M31" s="1377"/>
      <c r="N31" s="1377"/>
      <c r="O31" s="1240">
        <f t="shared" si="1"/>
        <v>0</v>
      </c>
      <c r="P31" s="1254"/>
    </row>
    <row r="32" spans="1:17" ht="15" hidden="1" customHeight="1">
      <c r="A32" s="1383">
        <v>606</v>
      </c>
      <c r="B32" s="1239"/>
      <c r="C32" s="1377"/>
      <c r="D32" s="1377"/>
      <c r="E32" s="1377"/>
      <c r="F32" s="1377"/>
      <c r="G32" s="1377"/>
      <c r="H32" s="1377"/>
      <c r="I32" s="1377"/>
      <c r="J32" s="1377"/>
      <c r="K32" s="1377"/>
      <c r="L32" s="1377"/>
      <c r="M32" s="1377"/>
      <c r="N32" s="1377"/>
      <c r="O32" s="1240">
        <f t="shared" si="1"/>
        <v>0</v>
      </c>
      <c r="P32" s="1237"/>
    </row>
    <row r="33" spans="1:21" ht="15" hidden="1" customHeight="1">
      <c r="A33" s="1383">
        <v>230</v>
      </c>
      <c r="B33" s="1239"/>
      <c r="C33" s="1377"/>
      <c r="D33" s="1377"/>
      <c r="E33" s="1377"/>
      <c r="F33" s="1377"/>
      <c r="G33" s="1377"/>
      <c r="H33" s="1377"/>
      <c r="I33" s="1377"/>
      <c r="J33" s="1377"/>
      <c r="K33" s="1377"/>
      <c r="L33" s="1377"/>
      <c r="M33" s="1377"/>
      <c r="N33" s="1377"/>
      <c r="O33" s="1240">
        <f t="shared" si="1"/>
        <v>0</v>
      </c>
      <c r="P33" s="1237"/>
    </row>
    <row r="34" spans="1:21" ht="5.25" customHeight="1">
      <c r="A34" s="1383">
        <v>231</v>
      </c>
      <c r="B34" s="1239"/>
      <c r="C34" s="1377"/>
      <c r="D34" s="1377"/>
      <c r="E34" s="1377"/>
      <c r="F34" s="1377"/>
      <c r="G34" s="1377"/>
      <c r="H34" s="1377"/>
      <c r="I34" s="1377"/>
      <c r="J34" s="1377"/>
      <c r="K34" s="1377"/>
      <c r="L34" s="1377"/>
      <c r="M34" s="1377"/>
      <c r="N34" s="1377"/>
      <c r="O34" s="1240">
        <f t="shared" si="1"/>
        <v>0</v>
      </c>
      <c r="P34" s="1237"/>
    </row>
    <row r="35" spans="1:21" ht="15" hidden="1" customHeight="1">
      <c r="A35" s="1383">
        <v>230</v>
      </c>
      <c r="B35" s="1239"/>
      <c r="C35" s="1378"/>
      <c r="D35" s="1378"/>
      <c r="E35" s="1378"/>
      <c r="F35" s="1378"/>
      <c r="G35" s="1378"/>
      <c r="H35" s="1378"/>
      <c r="I35" s="1378"/>
      <c r="J35" s="1378"/>
      <c r="K35" s="1378"/>
      <c r="L35" s="1378"/>
      <c r="M35" s="1378"/>
      <c r="N35" s="1378"/>
      <c r="O35" s="1240">
        <f t="shared" si="1"/>
        <v>0</v>
      </c>
      <c r="P35" s="1254"/>
      <c r="Q35" s="1242"/>
    </row>
    <row r="36" spans="1:21" ht="15" hidden="1" customHeight="1" thickBot="1">
      <c r="A36" s="1385">
        <v>231</v>
      </c>
      <c r="B36" s="1266"/>
      <c r="C36" s="1386"/>
      <c r="D36" s="1386"/>
      <c r="E36" s="1386"/>
      <c r="F36" s="1386"/>
      <c r="G36" s="1386"/>
      <c r="H36" s="1386"/>
      <c r="I36" s="1386"/>
      <c r="J36" s="1386"/>
      <c r="K36" s="1386"/>
      <c r="L36" s="1386"/>
      <c r="M36" s="1386"/>
      <c r="N36" s="1386"/>
      <c r="O36" s="1255">
        <f t="shared" si="1"/>
        <v>0</v>
      </c>
      <c r="P36" s="1241">
        <v>0</v>
      </c>
    </row>
    <row r="37" spans="1:21" ht="15" hidden="1" customHeight="1">
      <c r="A37" s="1256"/>
      <c r="B37" s="1257"/>
      <c r="C37" s="1258"/>
      <c r="D37" s="1258"/>
      <c r="E37" s="1258"/>
      <c r="F37" s="1258"/>
      <c r="G37" s="1258"/>
      <c r="H37" s="1258"/>
      <c r="I37" s="1258"/>
      <c r="J37" s="1258"/>
      <c r="K37" s="1258"/>
      <c r="L37" s="1258"/>
      <c r="M37" s="1258"/>
      <c r="N37" s="1258"/>
      <c r="O37" s="1259">
        <f t="shared" ref="O37" si="2">SUM(O26:O36)</f>
        <v>0</v>
      </c>
      <c r="P37" s="1260"/>
    </row>
    <row r="38" spans="1:21" ht="15" hidden="1" customHeight="1">
      <c r="A38" s="1388">
        <v>3</v>
      </c>
      <c r="B38" s="1389"/>
      <c r="C38" s="1250"/>
      <c r="D38" s="1250"/>
      <c r="E38" s="1250"/>
      <c r="F38" s="1250"/>
      <c r="G38" s="1250"/>
      <c r="H38" s="1250"/>
      <c r="I38" s="1250"/>
      <c r="J38" s="1250"/>
      <c r="K38" s="1250"/>
      <c r="L38" s="1250"/>
      <c r="M38" s="1250"/>
      <c r="N38" s="1250"/>
      <c r="O38" s="1261"/>
      <c r="P38" s="1252"/>
    </row>
    <row r="39" spans="1:21" ht="15" hidden="1" customHeight="1">
      <c r="A39" s="1380">
        <v>600</v>
      </c>
      <c r="B39" s="1235"/>
      <c r="C39" s="1381"/>
      <c r="D39" s="1381"/>
      <c r="E39" s="1381"/>
      <c r="F39" s="1381"/>
      <c r="G39" s="1381"/>
      <c r="H39" s="1381"/>
      <c r="I39" s="1381"/>
      <c r="J39" s="1381"/>
      <c r="K39" s="1381"/>
      <c r="L39" s="1381"/>
      <c r="M39" s="1381"/>
      <c r="N39" s="1381"/>
      <c r="O39" s="1236">
        <f t="shared" ref="O39:O49" si="3">SUM(C39:N39)</f>
        <v>0</v>
      </c>
      <c r="P39" s="1237"/>
    </row>
    <row r="40" spans="1:21" ht="15" hidden="1" customHeight="1">
      <c r="A40" s="1383">
        <v>601</v>
      </c>
      <c r="B40" s="1239"/>
      <c r="C40" s="1377"/>
      <c r="D40" s="1377"/>
      <c r="E40" s="1377"/>
      <c r="F40" s="1377"/>
      <c r="G40" s="1377"/>
      <c r="H40" s="1377"/>
      <c r="I40" s="1377"/>
      <c r="J40" s="1377"/>
      <c r="K40" s="1377"/>
      <c r="L40" s="1377"/>
      <c r="M40" s="1377"/>
      <c r="N40" s="1377"/>
      <c r="O40" s="1240">
        <f t="shared" si="3"/>
        <v>0</v>
      </c>
      <c r="P40" s="1262"/>
      <c r="Q40" s="1263"/>
      <c r="R40" s="1263"/>
      <c r="S40" s="1263"/>
      <c r="T40" s="1263"/>
      <c r="U40" s="1263"/>
    </row>
    <row r="41" spans="1:21" ht="15" hidden="1" customHeight="1">
      <c r="A41" s="1383">
        <v>602</v>
      </c>
      <c r="B41" s="1239"/>
      <c r="C41" s="1377"/>
      <c r="D41" s="1377"/>
      <c r="E41" s="1377"/>
      <c r="F41" s="1377"/>
      <c r="G41" s="1377"/>
      <c r="H41" s="1377"/>
      <c r="I41" s="1377"/>
      <c r="J41" s="1377"/>
      <c r="K41" s="1377"/>
      <c r="L41" s="1377"/>
      <c r="M41" s="1377"/>
      <c r="N41" s="1377"/>
      <c r="O41" s="1264">
        <f t="shared" si="3"/>
        <v>0</v>
      </c>
      <c r="P41" s="1241"/>
    </row>
    <row r="42" spans="1:21" ht="15" hidden="1" customHeight="1">
      <c r="A42" s="1383">
        <v>603</v>
      </c>
      <c r="B42" s="1239"/>
      <c r="C42" s="1377"/>
      <c r="D42" s="1377"/>
      <c r="E42" s="1377"/>
      <c r="F42" s="1377"/>
      <c r="G42" s="1377"/>
      <c r="H42" s="1377"/>
      <c r="I42" s="1377"/>
      <c r="J42" s="1377"/>
      <c r="K42" s="1377"/>
      <c r="L42" s="1377"/>
      <c r="M42" s="1377"/>
      <c r="N42" s="1377"/>
      <c r="O42" s="1240">
        <f t="shared" si="3"/>
        <v>0</v>
      </c>
      <c r="P42" s="1237"/>
    </row>
    <row r="43" spans="1:21" ht="15" hidden="1" customHeight="1">
      <c r="A43" s="1383">
        <v>604</v>
      </c>
      <c r="B43" s="1239"/>
      <c r="C43" s="1377"/>
      <c r="D43" s="1377"/>
      <c r="E43" s="1377"/>
      <c r="F43" s="1377"/>
      <c r="G43" s="1377"/>
      <c r="H43" s="1377"/>
      <c r="I43" s="1377"/>
      <c r="J43" s="1377"/>
      <c r="K43" s="1377"/>
      <c r="L43" s="1377"/>
      <c r="M43" s="1377"/>
      <c r="N43" s="1377"/>
      <c r="O43" s="1240">
        <f t="shared" si="3"/>
        <v>0</v>
      </c>
      <c r="P43" s="1237"/>
    </row>
    <row r="44" spans="1:21" ht="15" hidden="1" customHeight="1">
      <c r="A44" s="1383">
        <v>605</v>
      </c>
      <c r="B44" s="1239"/>
      <c r="C44" s="1377"/>
      <c r="D44" s="1377"/>
      <c r="E44" s="1377"/>
      <c r="F44" s="1377"/>
      <c r="G44" s="1377"/>
      <c r="H44" s="1377"/>
      <c r="I44" s="1377"/>
      <c r="J44" s="1377"/>
      <c r="K44" s="1377"/>
      <c r="L44" s="1377"/>
      <c r="M44" s="1377"/>
      <c r="N44" s="1377"/>
      <c r="O44" s="1240">
        <f t="shared" si="3"/>
        <v>0</v>
      </c>
      <c r="P44" s="1237"/>
    </row>
    <row r="45" spans="1:21" ht="15" hidden="1" customHeight="1">
      <c r="A45" s="1383">
        <v>606</v>
      </c>
      <c r="B45" s="1239"/>
      <c r="C45" s="1377"/>
      <c r="D45" s="1377"/>
      <c r="E45" s="1377"/>
      <c r="F45" s="1377"/>
      <c r="G45" s="1377"/>
      <c r="H45" s="1377"/>
      <c r="I45" s="1377"/>
      <c r="J45" s="1377"/>
      <c r="K45" s="1377"/>
      <c r="L45" s="1377"/>
      <c r="M45" s="1377"/>
      <c r="N45" s="1377"/>
      <c r="O45" s="1240">
        <f t="shared" si="3"/>
        <v>0</v>
      </c>
      <c r="P45" s="1237"/>
    </row>
    <row r="46" spans="1:21" ht="15" hidden="1" customHeight="1">
      <c r="A46" s="1383">
        <v>230</v>
      </c>
      <c r="B46" s="1239"/>
      <c r="C46" s="1377"/>
      <c r="D46" s="1377"/>
      <c r="E46" s="1377"/>
      <c r="F46" s="1377"/>
      <c r="G46" s="1377"/>
      <c r="H46" s="1377"/>
      <c r="I46" s="1377"/>
      <c r="J46" s="1377"/>
      <c r="K46" s="1377"/>
      <c r="L46" s="1377"/>
      <c r="M46" s="1377"/>
      <c r="N46" s="1377"/>
      <c r="O46" s="1240">
        <f t="shared" si="3"/>
        <v>0</v>
      </c>
      <c r="P46" s="1237"/>
    </row>
    <row r="47" spans="1:21" ht="15" hidden="1" customHeight="1">
      <c r="A47" s="1383">
        <v>231</v>
      </c>
      <c r="B47" s="1239"/>
      <c r="C47" s="1377"/>
      <c r="D47" s="1377"/>
      <c r="E47" s="1377"/>
      <c r="F47" s="1377"/>
      <c r="G47" s="1377"/>
      <c r="H47" s="1377"/>
      <c r="I47" s="1377"/>
      <c r="J47" s="1377"/>
      <c r="K47" s="1377"/>
      <c r="L47" s="1377"/>
      <c r="M47" s="1377"/>
      <c r="N47" s="1377"/>
      <c r="O47" s="1240">
        <f t="shared" si="3"/>
        <v>0</v>
      </c>
      <c r="P47" s="1237"/>
    </row>
    <row r="48" spans="1:21" ht="15" hidden="1" customHeight="1">
      <c r="A48" s="1383">
        <v>230</v>
      </c>
      <c r="B48" s="1239"/>
      <c r="C48" s="1378"/>
      <c r="D48" s="1378"/>
      <c r="E48" s="1378"/>
      <c r="F48" s="1378"/>
      <c r="G48" s="1378"/>
      <c r="H48" s="1378"/>
      <c r="I48" s="1378"/>
      <c r="J48" s="1378"/>
      <c r="K48" s="1378"/>
      <c r="L48" s="1378"/>
      <c r="M48" s="1378"/>
      <c r="N48" s="1378"/>
      <c r="O48" s="1240">
        <f t="shared" si="3"/>
        <v>0</v>
      </c>
      <c r="P48" s="1237"/>
    </row>
    <row r="49" spans="1:17" ht="15" hidden="1" customHeight="1">
      <c r="A49" s="1385">
        <v>231</v>
      </c>
      <c r="B49" s="1266"/>
      <c r="C49" s="1386"/>
      <c r="D49" s="1386"/>
      <c r="E49" s="1386"/>
      <c r="F49" s="1386"/>
      <c r="G49" s="1386"/>
      <c r="H49" s="1386"/>
      <c r="I49" s="1386"/>
      <c r="J49" s="1386"/>
      <c r="K49" s="1386"/>
      <c r="L49" s="1386"/>
      <c r="M49" s="1386"/>
      <c r="N49" s="1386"/>
      <c r="O49" s="1267">
        <f t="shared" si="3"/>
        <v>0</v>
      </c>
      <c r="P49" s="1241"/>
      <c r="Q49" s="1242"/>
    </row>
    <row r="50" spans="1:17" ht="15" hidden="1" customHeight="1" thickBot="1">
      <c r="A50" s="1243"/>
      <c r="B50" s="1244"/>
      <c r="C50" s="1268"/>
      <c r="D50" s="1268"/>
      <c r="E50" s="1268"/>
      <c r="F50" s="1268"/>
      <c r="G50" s="1268"/>
      <c r="H50" s="1268"/>
      <c r="I50" s="1268"/>
      <c r="J50" s="1268"/>
      <c r="K50" s="1268"/>
      <c r="L50" s="1268"/>
      <c r="M50" s="1268"/>
      <c r="N50" s="1268"/>
      <c r="O50" s="1269">
        <f t="shared" ref="O50" si="4">SUM(O39:O49)</f>
        <v>0</v>
      </c>
      <c r="P50" s="1260"/>
    </row>
    <row r="51" spans="1:17" ht="15" customHeight="1" thickBot="1">
      <c r="A51" s="1187">
        <v>4</v>
      </c>
      <c r="B51" s="1270" t="str">
        <f>'P2. Buxheti Cash flow Viti 2022'!D31</f>
        <v>&lt;&lt;Arsimi I larte &gt;&gt;</v>
      </c>
      <c r="C51" s="1271"/>
      <c r="D51" s="1271"/>
      <c r="E51" s="1271"/>
      <c r="F51" s="1271"/>
      <c r="G51" s="1271"/>
      <c r="H51" s="1271"/>
      <c r="I51" s="1271"/>
      <c r="J51" s="1271"/>
      <c r="K51" s="1271"/>
      <c r="L51" s="1271"/>
      <c r="M51" s="1271"/>
      <c r="N51" s="1271"/>
      <c r="O51" s="1272"/>
      <c r="P51" s="1233"/>
    </row>
    <row r="52" spans="1:17" ht="15" customHeight="1">
      <c r="A52" s="1380">
        <v>600</v>
      </c>
      <c r="B52" s="1235" t="s">
        <v>75</v>
      </c>
      <c r="C52" s="1381">
        <f>'P2. Buxheti Cash flow Viti 2022'!$G31*'P10. Cash Flow 2022'!C10</f>
        <v>0</v>
      </c>
      <c r="D52" s="1381">
        <f>'P2. Buxheti Cash flow Viti 2022'!$G31*'P10. Cash Flow 2022'!D10</f>
        <v>0</v>
      </c>
      <c r="E52" s="1381">
        <f>'P2. Buxheti Cash flow Viti 2022'!$G31*'P10. Cash Flow 2022'!E10</f>
        <v>0</v>
      </c>
      <c r="F52" s="1381">
        <f>'P2. Buxheti Cash flow Viti 2022'!$G31*'P10. Cash Flow 2022'!F10</f>
        <v>0</v>
      </c>
      <c r="G52" s="1381">
        <f>'P2. Buxheti Cash flow Viti 2022'!$G31*'P10. Cash Flow 2022'!G10</f>
        <v>0</v>
      </c>
      <c r="H52" s="1381">
        <f>'P2. Buxheti Cash flow Viti 2022'!$G31*'P10. Cash Flow 2022'!H10</f>
        <v>0</v>
      </c>
      <c r="I52" s="1381">
        <f>'P2. Buxheti Cash flow Viti 2022'!$G31*'P10. Cash Flow 2022'!I10</f>
        <v>0</v>
      </c>
      <c r="J52" s="1381">
        <f>'P2. Buxheti Cash flow Viti 2022'!$G31*'P10. Cash Flow 2022'!J10</f>
        <v>0</v>
      </c>
      <c r="K52" s="1381">
        <f>'P2. Buxheti Cash flow Viti 2022'!$G31*'P10. Cash Flow 2022'!K10</f>
        <v>0</v>
      </c>
      <c r="L52" s="1381">
        <f>'P2. Buxheti Cash flow Viti 2022'!$G31*'P10. Cash Flow 2022'!L10</f>
        <v>0</v>
      </c>
      <c r="M52" s="1381">
        <f>'P2. Buxheti Cash flow Viti 2022'!$G31*'P10. Cash Flow 2022'!M10</f>
        <v>0</v>
      </c>
      <c r="N52" s="1381">
        <f>'P2. Buxheti Cash flow Viti 2022'!$G31*'P10. Cash Flow 2022'!N10</f>
        <v>0</v>
      </c>
      <c r="O52" s="1274">
        <f>SUM(C52:N52)</f>
        <v>0</v>
      </c>
      <c r="P52" s="1241"/>
    </row>
    <row r="53" spans="1:17" ht="15" customHeight="1">
      <c r="A53" s="1383">
        <v>601</v>
      </c>
      <c r="B53" s="1239" t="s">
        <v>121</v>
      </c>
      <c r="C53" s="1381">
        <f>'P2. Buxheti Cash flow Viti 2022'!$G32*'P10. Cash Flow 2022'!C10</f>
        <v>0</v>
      </c>
      <c r="D53" s="1381">
        <f>'P2. Buxheti Cash flow Viti 2022'!$G32*'P10. Cash Flow 2022'!D10</f>
        <v>0</v>
      </c>
      <c r="E53" s="1381">
        <f>'P2. Buxheti Cash flow Viti 2022'!$G32*'P10. Cash Flow 2022'!E10</f>
        <v>0</v>
      </c>
      <c r="F53" s="1381">
        <f>'P2. Buxheti Cash flow Viti 2022'!$G32*'P10. Cash Flow 2022'!F10</f>
        <v>0</v>
      </c>
      <c r="G53" s="1381">
        <f>'P2. Buxheti Cash flow Viti 2022'!$G32*'P10. Cash Flow 2022'!G10</f>
        <v>0</v>
      </c>
      <c r="H53" s="1381">
        <f>'P2. Buxheti Cash flow Viti 2022'!$G32*'P10. Cash Flow 2022'!H10</f>
        <v>0</v>
      </c>
      <c r="I53" s="1381">
        <f>'P2. Buxheti Cash flow Viti 2022'!$G32*'P10. Cash Flow 2022'!I10</f>
        <v>0</v>
      </c>
      <c r="J53" s="1381">
        <f>'P2. Buxheti Cash flow Viti 2022'!$G32*'P10. Cash Flow 2022'!J10</f>
        <v>0</v>
      </c>
      <c r="K53" s="1381">
        <f>'P2. Buxheti Cash flow Viti 2022'!$G32*'P10. Cash Flow 2022'!K10</f>
        <v>0</v>
      </c>
      <c r="L53" s="1381">
        <f>'P2. Buxheti Cash flow Viti 2022'!$G32*'P10. Cash Flow 2022'!L10</f>
        <v>0</v>
      </c>
      <c r="M53" s="1381">
        <f>'P2. Buxheti Cash flow Viti 2022'!$G32*'P10. Cash Flow 2022'!M10</f>
        <v>0</v>
      </c>
      <c r="N53" s="1381">
        <f>'P2. Buxheti Cash flow Viti 2022'!$G32*'P10. Cash Flow 2022'!N10</f>
        <v>0</v>
      </c>
      <c r="O53" s="1240">
        <f t="shared" ref="O53:O62" si="5">SUM(C53:N53)</f>
        <v>0</v>
      </c>
      <c r="P53" s="1241"/>
    </row>
    <row r="54" spans="1:17" ht="15" customHeight="1">
      <c r="A54" s="1383">
        <v>602</v>
      </c>
      <c r="B54" s="1239" t="s">
        <v>142</v>
      </c>
      <c r="C54" s="1377">
        <f>'P2. Buxheti Cash flow Viti 2022'!$I31*'P10. Cash Flow 2022'!C9</f>
        <v>0</v>
      </c>
      <c r="D54" s="1377">
        <f>'P2. Buxheti Cash flow Viti 2022'!$I31*'P10. Cash Flow 2022'!D9</f>
        <v>0</v>
      </c>
      <c r="E54" s="1377">
        <f>'P2. Buxheti Cash flow Viti 2022'!$I31*'P10. Cash Flow 2022'!E9</f>
        <v>0</v>
      </c>
      <c r="F54" s="1377">
        <f>'P2. Buxheti Cash flow Viti 2022'!$I31*'P10. Cash Flow 2022'!F9</f>
        <v>0</v>
      </c>
      <c r="G54" s="1377">
        <f>'P2. Buxheti Cash flow Viti 2022'!$I31*'P10. Cash Flow 2022'!G9</f>
        <v>0</v>
      </c>
      <c r="H54" s="1377">
        <f>'P2. Buxheti Cash flow Viti 2022'!$I31*'P10. Cash Flow 2022'!H9</f>
        <v>0</v>
      </c>
      <c r="I54" s="1377">
        <f>'P2. Buxheti Cash flow Viti 2022'!$I31*'P10. Cash Flow 2022'!I9</f>
        <v>0</v>
      </c>
      <c r="J54" s="1377">
        <f>'P2. Buxheti Cash flow Viti 2022'!$I31*'P10. Cash Flow 2022'!J9</f>
        <v>0</v>
      </c>
      <c r="K54" s="1377">
        <f>'P2. Buxheti Cash flow Viti 2022'!$I31*'P10. Cash Flow 2022'!K9</f>
        <v>0</v>
      </c>
      <c r="L54" s="1377">
        <f>'P2. Buxheti Cash flow Viti 2022'!$I31*'P10. Cash Flow 2022'!L9</f>
        <v>0</v>
      </c>
      <c r="M54" s="1377">
        <f>'P2. Buxheti Cash flow Viti 2022'!$I31*'P10. Cash Flow 2022'!M9</f>
        <v>0</v>
      </c>
      <c r="N54" s="1377">
        <f>'P2. Buxheti Cash flow Viti 2022'!$I31*'P10. Cash Flow 2022'!N9</f>
        <v>0</v>
      </c>
      <c r="O54" s="1240">
        <f t="shared" si="5"/>
        <v>0</v>
      </c>
      <c r="P54" s="1241"/>
    </row>
    <row r="55" spans="1:17" ht="15" customHeight="1">
      <c r="A55" s="1383">
        <v>603</v>
      </c>
      <c r="B55" s="1239" t="s">
        <v>81</v>
      </c>
      <c r="C55" s="1377">
        <f>'P2. Buxheti Cash flow Viti 2022'!$J31*'P10. Cash Flow 2022'!C9</f>
        <v>0</v>
      </c>
      <c r="D55" s="1377">
        <f>'P2. Buxheti Cash flow Viti 2022'!$J31*'P10. Cash Flow 2022'!D9</f>
        <v>0</v>
      </c>
      <c r="E55" s="1377">
        <f>'P2. Buxheti Cash flow Viti 2022'!$J31*'P10. Cash Flow 2022'!E9</f>
        <v>0</v>
      </c>
      <c r="F55" s="1377">
        <f>'P2. Buxheti Cash flow Viti 2022'!$J31*'P10. Cash Flow 2022'!F9</f>
        <v>0</v>
      </c>
      <c r="G55" s="1377">
        <f>'P2. Buxheti Cash flow Viti 2022'!$J31*'P10. Cash Flow 2022'!G9</f>
        <v>0</v>
      </c>
      <c r="H55" s="1377">
        <f>'P2. Buxheti Cash flow Viti 2022'!$J31*'P10. Cash Flow 2022'!H9</f>
        <v>0</v>
      </c>
      <c r="I55" s="1377">
        <f>'P2. Buxheti Cash flow Viti 2022'!$J31*'P10. Cash Flow 2022'!I9</f>
        <v>0</v>
      </c>
      <c r="J55" s="1377">
        <f>'P2. Buxheti Cash flow Viti 2022'!$J31*'P10. Cash Flow 2022'!J9</f>
        <v>0</v>
      </c>
      <c r="K55" s="1377">
        <f>'P2. Buxheti Cash flow Viti 2022'!$J31*'P10. Cash Flow 2022'!K9</f>
        <v>0</v>
      </c>
      <c r="L55" s="1377">
        <f>'P2. Buxheti Cash flow Viti 2022'!$J31*'P10. Cash Flow 2022'!L9</f>
        <v>0</v>
      </c>
      <c r="M55" s="1377">
        <f>'P2. Buxheti Cash flow Viti 2022'!$J31*'P10. Cash Flow 2022'!M9</f>
        <v>0</v>
      </c>
      <c r="N55" s="1377">
        <f>'P2. Buxheti Cash flow Viti 2022'!$J31*'P10. Cash Flow 2022'!N9</f>
        <v>0</v>
      </c>
      <c r="O55" s="1275">
        <f t="shared" si="5"/>
        <v>0</v>
      </c>
      <c r="P55" s="1254"/>
    </row>
    <row r="56" spans="1:17" ht="15" customHeight="1">
      <c r="A56" s="1383">
        <v>604</v>
      </c>
      <c r="B56" s="1239" t="s">
        <v>122</v>
      </c>
      <c r="C56" s="1377">
        <f>'P2. Buxheti Cash flow Viti 2022'!$K31*'P10. Cash Flow 2022'!C9</f>
        <v>0</v>
      </c>
      <c r="D56" s="1377">
        <f>'P2. Buxheti Cash flow Viti 2022'!$K31*'P10. Cash Flow 2022'!D9</f>
        <v>0</v>
      </c>
      <c r="E56" s="1377">
        <f>'P2. Buxheti Cash flow Viti 2022'!$K31*'P10. Cash Flow 2022'!E9</f>
        <v>0</v>
      </c>
      <c r="F56" s="1377">
        <f>'P2. Buxheti Cash flow Viti 2022'!$K31*'P10. Cash Flow 2022'!F9</f>
        <v>0</v>
      </c>
      <c r="G56" s="1377">
        <f>'P2. Buxheti Cash flow Viti 2022'!$K31*'P10. Cash Flow 2022'!G9</f>
        <v>0</v>
      </c>
      <c r="H56" s="1377">
        <f>'P2. Buxheti Cash flow Viti 2022'!$K31*'P10. Cash Flow 2022'!H9</f>
        <v>0</v>
      </c>
      <c r="I56" s="1377">
        <f>'P2. Buxheti Cash flow Viti 2022'!$K31*'P10. Cash Flow 2022'!I9</f>
        <v>0</v>
      </c>
      <c r="J56" s="1377">
        <f>'P2. Buxheti Cash flow Viti 2022'!$K31*'P10. Cash Flow 2022'!J9</f>
        <v>0</v>
      </c>
      <c r="K56" s="1377">
        <f>'P2. Buxheti Cash flow Viti 2022'!$K31*'P10. Cash Flow 2022'!K9</f>
        <v>0</v>
      </c>
      <c r="L56" s="1377">
        <f>'P2. Buxheti Cash flow Viti 2022'!$K31*'P10. Cash Flow 2022'!L9</f>
        <v>0</v>
      </c>
      <c r="M56" s="1377">
        <f>'P2. Buxheti Cash flow Viti 2022'!$K31*'P10. Cash Flow 2022'!M9</f>
        <v>0</v>
      </c>
      <c r="N56" s="1377">
        <f>'P2. Buxheti Cash flow Viti 2022'!$K31*'P10. Cash Flow 2022'!N9</f>
        <v>0</v>
      </c>
      <c r="O56" s="1240">
        <f t="shared" si="5"/>
        <v>0</v>
      </c>
      <c r="P56" s="1254"/>
    </row>
    <row r="57" spans="1:17" ht="15" customHeight="1">
      <c r="A57" s="1383">
        <v>605</v>
      </c>
      <c r="B57" s="1239" t="s">
        <v>123</v>
      </c>
      <c r="C57" s="1377">
        <f>'P2. Buxheti Cash flow Viti 2022'!$L31*'P10. Cash Flow 2022'!C9</f>
        <v>0</v>
      </c>
      <c r="D57" s="1377">
        <f>'P2. Buxheti Cash flow Viti 2022'!$L31*'P10. Cash Flow 2022'!D9</f>
        <v>0</v>
      </c>
      <c r="E57" s="1377">
        <f>'P2. Buxheti Cash flow Viti 2022'!$L31*'P10. Cash Flow 2022'!E9</f>
        <v>0</v>
      </c>
      <c r="F57" s="1377">
        <f>'P2. Buxheti Cash flow Viti 2022'!$L31*'P10. Cash Flow 2022'!F9</f>
        <v>0</v>
      </c>
      <c r="G57" s="1377">
        <f>'P2. Buxheti Cash flow Viti 2022'!$L31*'P10. Cash Flow 2022'!G9</f>
        <v>0</v>
      </c>
      <c r="H57" s="1377">
        <f>'P2. Buxheti Cash flow Viti 2022'!$L31*'P10. Cash Flow 2022'!H9</f>
        <v>0</v>
      </c>
      <c r="I57" s="1377">
        <f>'P2. Buxheti Cash flow Viti 2022'!$L31*'P10. Cash Flow 2022'!I9</f>
        <v>0</v>
      </c>
      <c r="J57" s="1377">
        <f>'P2. Buxheti Cash flow Viti 2022'!$L31*'P10. Cash Flow 2022'!J9</f>
        <v>0</v>
      </c>
      <c r="K57" s="1377">
        <f>'P2. Buxheti Cash flow Viti 2022'!$L31*'P10. Cash Flow 2022'!K9</f>
        <v>0</v>
      </c>
      <c r="L57" s="1377">
        <f>'P2. Buxheti Cash flow Viti 2022'!$L31*'P10. Cash Flow 2022'!L9</f>
        <v>0</v>
      </c>
      <c r="M57" s="1377">
        <f>'P2. Buxheti Cash flow Viti 2022'!$L31*'P10. Cash Flow 2022'!M9</f>
        <v>0</v>
      </c>
      <c r="N57" s="1377">
        <f>'P2. Buxheti Cash flow Viti 2022'!$L31*'P10. Cash Flow 2022'!N9</f>
        <v>0</v>
      </c>
      <c r="O57" s="1240">
        <f t="shared" si="5"/>
        <v>0</v>
      </c>
      <c r="P57" s="1254"/>
    </row>
    <row r="58" spans="1:17" ht="15" customHeight="1">
      <c r="A58" s="1383">
        <v>606</v>
      </c>
      <c r="B58" s="1239" t="s">
        <v>124</v>
      </c>
      <c r="C58" s="1377">
        <f>'P2. Buxheti Cash flow Viti 2022'!$M31*'P10. Cash Flow 2022'!C9</f>
        <v>0</v>
      </c>
      <c r="D58" s="1377">
        <f>'P2. Buxheti Cash flow Viti 2022'!$M31*'P10. Cash Flow 2022'!D9</f>
        <v>0</v>
      </c>
      <c r="E58" s="1377">
        <f>'P2. Buxheti Cash flow Viti 2022'!$M31*'P10. Cash Flow 2022'!E9</f>
        <v>0</v>
      </c>
      <c r="F58" s="1377">
        <f>'P2. Buxheti Cash flow Viti 2022'!$M31*'P10. Cash Flow 2022'!F9</f>
        <v>0</v>
      </c>
      <c r="G58" s="1377">
        <f>'P2. Buxheti Cash flow Viti 2022'!$M31*'P10. Cash Flow 2022'!G9</f>
        <v>0</v>
      </c>
      <c r="H58" s="1377">
        <f>'P2. Buxheti Cash flow Viti 2022'!$M31*'P10. Cash Flow 2022'!H9</f>
        <v>0</v>
      </c>
      <c r="I58" s="1377">
        <f>'P2. Buxheti Cash flow Viti 2022'!$M31*'P10. Cash Flow 2022'!I9</f>
        <v>0</v>
      </c>
      <c r="J58" s="1377">
        <f>'P2. Buxheti Cash flow Viti 2022'!$M31*'P10. Cash Flow 2022'!J9</f>
        <v>0</v>
      </c>
      <c r="K58" s="1377">
        <f>'P2. Buxheti Cash flow Viti 2022'!$M31*'P10. Cash Flow 2022'!K9</f>
        <v>0</v>
      </c>
      <c r="L58" s="1377">
        <f>'P2. Buxheti Cash flow Viti 2022'!$M31*'P10. Cash Flow 2022'!L9</f>
        <v>0</v>
      </c>
      <c r="M58" s="1377">
        <f>'P2. Buxheti Cash flow Viti 2022'!$M31*'P10. Cash Flow 2022'!M9</f>
        <v>0</v>
      </c>
      <c r="N58" s="1377">
        <f>'P2. Buxheti Cash flow Viti 2022'!$M31*'P10. Cash Flow 2022'!N9</f>
        <v>0</v>
      </c>
      <c r="O58" s="1240">
        <f t="shared" si="5"/>
        <v>0</v>
      </c>
      <c r="P58" s="1254"/>
    </row>
    <row r="59" spans="1:17" ht="15" customHeight="1">
      <c r="A59" s="1383">
        <v>230</v>
      </c>
      <c r="B59" s="1239" t="s">
        <v>126</v>
      </c>
      <c r="C59" s="1377">
        <f>'P2. Buxheti Cash flow Viti 2022'!$N31*'P10. Cash Flow 2022'!C8</f>
        <v>0</v>
      </c>
      <c r="D59" s="1377">
        <f>'P2. Buxheti Cash flow Viti 2022'!$N31*'P10. Cash Flow 2022'!D8</f>
        <v>0</v>
      </c>
      <c r="E59" s="1377">
        <f>'P2. Buxheti Cash flow Viti 2022'!$N31*'P10. Cash Flow 2022'!E8</f>
        <v>0</v>
      </c>
      <c r="F59" s="1377">
        <f>'P2. Buxheti Cash flow Viti 2022'!$N31*'P10. Cash Flow 2022'!F8</f>
        <v>0</v>
      </c>
      <c r="G59" s="1377">
        <f>'P2. Buxheti Cash flow Viti 2022'!$N31*'P10. Cash Flow 2022'!G8</f>
        <v>0</v>
      </c>
      <c r="H59" s="1377">
        <f>'P2. Buxheti Cash flow Viti 2022'!$N31*'P10. Cash Flow 2022'!H8</f>
        <v>0</v>
      </c>
      <c r="I59" s="1377">
        <f>'P2. Buxheti Cash flow Viti 2022'!$N31*'P10. Cash Flow 2022'!I8</f>
        <v>0</v>
      </c>
      <c r="J59" s="1377">
        <f>'P2. Buxheti Cash flow Viti 2022'!$N31*'P10. Cash Flow 2022'!J8</f>
        <v>0</v>
      </c>
      <c r="K59" s="1377">
        <f>'P2. Buxheti Cash flow Viti 2022'!$N31*'P10. Cash Flow 2022'!K8</f>
        <v>0</v>
      </c>
      <c r="L59" s="1377">
        <f>'P2. Buxheti Cash flow Viti 2022'!$N31*'P10. Cash Flow 2022'!L8</f>
        <v>0</v>
      </c>
      <c r="M59" s="1377">
        <f>'P2. Buxheti Cash flow Viti 2022'!$N31*'P10. Cash Flow 2022'!M8</f>
        <v>0</v>
      </c>
      <c r="N59" s="1377">
        <f>'P2. Buxheti Cash flow Viti 2022'!$N31*'P10. Cash Flow 2022'!N8</f>
        <v>0</v>
      </c>
      <c r="O59" s="1240">
        <f t="shared" si="5"/>
        <v>0</v>
      </c>
      <c r="P59" s="1254"/>
    </row>
    <row r="60" spans="1:17" ht="15" customHeight="1">
      <c r="A60" s="1383">
        <v>231</v>
      </c>
      <c r="B60" s="1239" t="s">
        <v>125</v>
      </c>
      <c r="C60" s="1377">
        <f>'P2. Buxheti Cash flow Viti 2022'!$O31*'P10. Cash Flow 2022'!C8</f>
        <v>0</v>
      </c>
      <c r="D60" s="1377">
        <f>'P2. Buxheti Cash flow Viti 2022'!$O31*'P10. Cash Flow 2022'!D8</f>
        <v>0</v>
      </c>
      <c r="E60" s="1377">
        <f>'P2. Buxheti Cash flow Viti 2022'!$O31*'P10. Cash Flow 2022'!E8</f>
        <v>0</v>
      </c>
      <c r="F60" s="1377">
        <f>'P2. Buxheti Cash flow Viti 2022'!$O31*'P10. Cash Flow 2022'!F8</f>
        <v>0</v>
      </c>
      <c r="G60" s="1377">
        <f>'P2. Buxheti Cash flow Viti 2022'!$O31*'P10. Cash Flow 2022'!G8</f>
        <v>0</v>
      </c>
      <c r="H60" s="1377">
        <f>'P2. Buxheti Cash flow Viti 2022'!$O31*'P10. Cash Flow 2022'!H8</f>
        <v>0</v>
      </c>
      <c r="I60" s="1377">
        <f>'P2. Buxheti Cash flow Viti 2022'!$O31*'P10. Cash Flow 2022'!I8</f>
        <v>0</v>
      </c>
      <c r="J60" s="1377">
        <f>'P2. Buxheti Cash flow Viti 2022'!$O31*'P10. Cash Flow 2022'!J8</f>
        <v>0</v>
      </c>
      <c r="K60" s="1377">
        <f>'P2. Buxheti Cash flow Viti 2022'!$O31*'P10. Cash Flow 2022'!K8</f>
        <v>0</v>
      </c>
      <c r="L60" s="1377">
        <f>'P2. Buxheti Cash flow Viti 2022'!$O31*'P10. Cash Flow 2022'!L8</f>
        <v>0</v>
      </c>
      <c r="M60" s="1377">
        <f>'P2. Buxheti Cash flow Viti 2022'!$O31*'P10. Cash Flow 2022'!M8</f>
        <v>0</v>
      </c>
      <c r="N60" s="1377">
        <f>'P2. Buxheti Cash flow Viti 2022'!$O31*'P10. Cash Flow 2022'!N8</f>
        <v>0</v>
      </c>
      <c r="O60" s="1240">
        <f t="shared" si="5"/>
        <v>0</v>
      </c>
      <c r="P60" s="1254"/>
    </row>
    <row r="61" spans="1:17" ht="15" customHeight="1">
      <c r="A61" s="1383">
        <v>230</v>
      </c>
      <c r="B61" s="1239" t="s">
        <v>127</v>
      </c>
      <c r="C61" s="1378">
        <v>0</v>
      </c>
      <c r="D61" s="1378">
        <v>0</v>
      </c>
      <c r="E61" s="1378">
        <v>0</v>
      </c>
      <c r="F61" s="1378">
        <v>0</v>
      </c>
      <c r="G61" s="1378">
        <v>0</v>
      </c>
      <c r="H61" s="1378">
        <v>0</v>
      </c>
      <c r="I61" s="1378">
        <v>0</v>
      </c>
      <c r="J61" s="1378">
        <v>0</v>
      </c>
      <c r="K61" s="1378">
        <v>0</v>
      </c>
      <c r="L61" s="1378">
        <v>0</v>
      </c>
      <c r="M61" s="1378">
        <v>0</v>
      </c>
      <c r="N61" s="1378">
        <v>0</v>
      </c>
      <c r="O61" s="1276">
        <f t="shared" si="5"/>
        <v>0</v>
      </c>
      <c r="P61" s="1254"/>
    </row>
    <row r="62" spans="1:17" ht="15" customHeight="1">
      <c r="A62" s="1385">
        <v>231</v>
      </c>
      <c r="B62" s="1266" t="s">
        <v>128</v>
      </c>
      <c r="C62" s="1386">
        <v>0</v>
      </c>
      <c r="D62" s="1386">
        <v>0</v>
      </c>
      <c r="E62" s="1386">
        <v>0</v>
      </c>
      <c r="F62" s="1386">
        <v>0</v>
      </c>
      <c r="G62" s="1386">
        <v>0</v>
      </c>
      <c r="H62" s="1386">
        <v>0</v>
      </c>
      <c r="I62" s="1386">
        <v>0</v>
      </c>
      <c r="J62" s="1386">
        <v>0</v>
      </c>
      <c r="K62" s="1386">
        <v>0</v>
      </c>
      <c r="L62" s="1386">
        <v>0</v>
      </c>
      <c r="M62" s="1386">
        <v>0</v>
      </c>
      <c r="N62" s="1386">
        <v>0</v>
      </c>
      <c r="O62" s="1277">
        <f t="shared" si="5"/>
        <v>0</v>
      </c>
      <c r="P62" s="1241">
        <v>0</v>
      </c>
      <c r="Q62" s="1242" t="s">
        <v>978</v>
      </c>
    </row>
    <row r="63" spans="1:17" ht="15" customHeight="1" thickBot="1">
      <c r="A63" s="1243"/>
      <c r="B63" s="1244" t="s">
        <v>979</v>
      </c>
      <c r="C63" s="1268">
        <f t="shared" ref="C63:O63" si="6">SUM(C52:C62)</f>
        <v>0</v>
      </c>
      <c r="D63" s="1268">
        <f t="shared" si="6"/>
        <v>0</v>
      </c>
      <c r="E63" s="1268">
        <f t="shared" si="6"/>
        <v>0</v>
      </c>
      <c r="F63" s="1268">
        <f t="shared" si="6"/>
        <v>0</v>
      </c>
      <c r="G63" s="1268">
        <f t="shared" si="6"/>
        <v>0</v>
      </c>
      <c r="H63" s="1268">
        <f t="shared" si="6"/>
        <v>0</v>
      </c>
      <c r="I63" s="1268">
        <f t="shared" si="6"/>
        <v>0</v>
      </c>
      <c r="J63" s="1268">
        <f t="shared" si="6"/>
        <v>0</v>
      </c>
      <c r="K63" s="1268">
        <f t="shared" si="6"/>
        <v>0</v>
      </c>
      <c r="L63" s="1268">
        <f t="shared" si="6"/>
        <v>0</v>
      </c>
      <c r="M63" s="1268">
        <f t="shared" si="6"/>
        <v>0</v>
      </c>
      <c r="N63" s="1268">
        <f t="shared" si="6"/>
        <v>0</v>
      </c>
      <c r="O63" s="1278">
        <f t="shared" si="6"/>
        <v>0</v>
      </c>
      <c r="P63" s="1247"/>
    </row>
    <row r="64" spans="1:17" ht="15" customHeight="1" thickBot="1">
      <c r="A64" s="1187">
        <v>5</v>
      </c>
      <c r="B64" s="1270" t="str">
        <f>'P2. Buxheti Cash flow Viti 2022'!D37</f>
        <v>&lt;&lt;Kerkim Fondamental dhe Ekselence&gt;</v>
      </c>
      <c r="C64" s="1271"/>
      <c r="D64" s="1271"/>
      <c r="E64" s="1271"/>
      <c r="F64" s="1271"/>
      <c r="G64" s="1271"/>
      <c r="H64" s="1271"/>
      <c r="I64" s="1271"/>
      <c r="J64" s="1271"/>
      <c r="K64" s="1271"/>
      <c r="L64" s="1271"/>
      <c r="M64" s="1271"/>
      <c r="N64" s="1271"/>
      <c r="O64" s="1272">
        <v>0</v>
      </c>
      <c r="P64" s="1252"/>
    </row>
    <row r="65" spans="1:17" ht="15" customHeight="1">
      <c r="A65" s="1226">
        <v>600</v>
      </c>
      <c r="B65" s="1273" t="s">
        <v>75</v>
      </c>
      <c r="C65" s="1377">
        <f>'P2. Buxheti Cash flow Viti 2022'!$G37*'P10. Cash Flow 2022'!C10</f>
        <v>0</v>
      </c>
      <c r="D65" s="1377">
        <f>'P2. Buxheti Cash flow Viti 2022'!$G37*'P10. Cash Flow 2022'!D10</f>
        <v>0</v>
      </c>
      <c r="E65" s="1377">
        <f>'P2. Buxheti Cash flow Viti 2022'!$G37*'P10. Cash Flow 2022'!E10</f>
        <v>0</v>
      </c>
      <c r="F65" s="1377">
        <f>'P2. Buxheti Cash flow Viti 2022'!$G37*'P10. Cash Flow 2022'!F10</f>
        <v>0</v>
      </c>
      <c r="G65" s="1377">
        <f>'P2. Buxheti Cash flow Viti 2022'!$G37*'P10. Cash Flow 2022'!G10</f>
        <v>0</v>
      </c>
      <c r="H65" s="1377">
        <f>'P2. Buxheti Cash flow Viti 2022'!$G37*'P10. Cash Flow 2022'!H10</f>
        <v>0</v>
      </c>
      <c r="I65" s="1377">
        <f>'P2. Buxheti Cash flow Viti 2022'!$G37*'P10. Cash Flow 2022'!I10</f>
        <v>0</v>
      </c>
      <c r="J65" s="1377">
        <f>'P2. Buxheti Cash flow Viti 2022'!$G37*'P10. Cash Flow 2022'!J10</f>
        <v>0</v>
      </c>
      <c r="K65" s="1377">
        <f>'P2. Buxheti Cash flow Viti 2022'!$G37*'P10. Cash Flow 2022'!K10</f>
        <v>0</v>
      </c>
      <c r="L65" s="1377">
        <f>'P2. Buxheti Cash flow Viti 2022'!$G37*'P10. Cash Flow 2022'!L10</f>
        <v>0</v>
      </c>
      <c r="M65" s="1377">
        <f>'P2. Buxheti Cash flow Viti 2022'!$G37*'P10. Cash Flow 2022'!M10</f>
        <v>0</v>
      </c>
      <c r="N65" s="1377">
        <f>'P2. Buxheti Cash flow Viti 2022'!$G37*'P10. Cash Flow 2022'!N10</f>
        <v>0</v>
      </c>
      <c r="O65" s="1274">
        <f>SUM(C65:N65)</f>
        <v>0</v>
      </c>
      <c r="P65" s="1237"/>
    </row>
    <row r="66" spans="1:17" ht="15" customHeight="1">
      <c r="A66" s="1238">
        <v>601</v>
      </c>
      <c r="B66" s="1239" t="s">
        <v>121</v>
      </c>
      <c r="C66" s="1377">
        <f>'P2. Buxheti Cash flow Viti 2022'!$H37*'P10. Cash Flow 2022'!C10</f>
        <v>0</v>
      </c>
      <c r="D66" s="1377">
        <f>'P2. Buxheti Cash flow Viti 2022'!$H37*'P10. Cash Flow 2022'!D10</f>
        <v>0</v>
      </c>
      <c r="E66" s="1377">
        <f>'P2. Buxheti Cash flow Viti 2022'!$H37*'P10. Cash Flow 2022'!E10</f>
        <v>0</v>
      </c>
      <c r="F66" s="1377">
        <f>'P2. Buxheti Cash flow Viti 2022'!$H37*'P10. Cash Flow 2022'!F10</f>
        <v>0</v>
      </c>
      <c r="G66" s="1377">
        <f>'P2. Buxheti Cash flow Viti 2022'!$H37*'P10. Cash Flow 2022'!G10</f>
        <v>0</v>
      </c>
      <c r="H66" s="1377">
        <f>'P2. Buxheti Cash flow Viti 2022'!$H37*'P10. Cash Flow 2022'!H10</f>
        <v>0</v>
      </c>
      <c r="I66" s="1377">
        <f>'P2. Buxheti Cash flow Viti 2022'!$H37*'P10. Cash Flow 2022'!I10</f>
        <v>0</v>
      </c>
      <c r="J66" s="1377">
        <f>'P2. Buxheti Cash flow Viti 2022'!$H37*'P10. Cash Flow 2022'!J10</f>
        <v>0</v>
      </c>
      <c r="K66" s="1377">
        <f>'P2. Buxheti Cash flow Viti 2022'!$H37*'P10. Cash Flow 2022'!K10</f>
        <v>0</v>
      </c>
      <c r="L66" s="1377">
        <f>'P2. Buxheti Cash flow Viti 2022'!$H37*'P10. Cash Flow 2022'!L10</f>
        <v>0</v>
      </c>
      <c r="M66" s="1377">
        <f>'P2. Buxheti Cash flow Viti 2022'!$H37*'P10. Cash Flow 2022'!M10</f>
        <v>0</v>
      </c>
      <c r="N66" s="1377">
        <f>'P2. Buxheti Cash flow Viti 2022'!$H37*'P10. Cash Flow 2022'!N10</f>
        <v>0</v>
      </c>
      <c r="O66" s="1279">
        <f t="shared" ref="O66:O75" si="7">SUM(C66:N66)</f>
        <v>0</v>
      </c>
      <c r="P66" s="1237"/>
    </row>
    <row r="67" spans="1:17" ht="15" customHeight="1">
      <c r="A67" s="1238">
        <v>602</v>
      </c>
      <c r="B67" s="1239" t="s">
        <v>142</v>
      </c>
      <c r="C67" s="1377">
        <f>'P2. Buxheti Cash flow Viti 2022'!$I37*'P10. Cash Flow 2022'!C9</f>
        <v>0</v>
      </c>
      <c r="D67" s="1377">
        <f>'P2. Buxheti Cash flow Viti 2022'!$I37*'P10. Cash Flow 2022'!D9</f>
        <v>0</v>
      </c>
      <c r="E67" s="1377">
        <f>'P2. Buxheti Cash flow Viti 2022'!$I37*'P10. Cash Flow 2022'!E9</f>
        <v>0</v>
      </c>
      <c r="F67" s="1377">
        <f>'P2. Buxheti Cash flow Viti 2022'!$I37*'P10. Cash Flow 2022'!F9</f>
        <v>0</v>
      </c>
      <c r="G67" s="1377">
        <f>'P2. Buxheti Cash flow Viti 2022'!$I37*'P10. Cash Flow 2022'!G9</f>
        <v>0</v>
      </c>
      <c r="H67" s="1377">
        <f>'P2. Buxheti Cash flow Viti 2022'!$I37*'P10. Cash Flow 2022'!H9</f>
        <v>0</v>
      </c>
      <c r="I67" s="1377">
        <f>'P2. Buxheti Cash flow Viti 2022'!$I37*'P10. Cash Flow 2022'!I9</f>
        <v>0</v>
      </c>
      <c r="J67" s="1377">
        <f>'P2. Buxheti Cash flow Viti 2022'!$I37*'P10. Cash Flow 2022'!J9</f>
        <v>0</v>
      </c>
      <c r="K67" s="1377">
        <f>'P2. Buxheti Cash flow Viti 2022'!$I37*'P10. Cash Flow 2022'!K9</f>
        <v>0</v>
      </c>
      <c r="L67" s="1377">
        <f>'P2. Buxheti Cash flow Viti 2022'!$I37*'P10. Cash Flow 2022'!L9</f>
        <v>0</v>
      </c>
      <c r="M67" s="1377">
        <f>'P2. Buxheti Cash flow Viti 2022'!$I37*'P10. Cash Flow 2022'!M9</f>
        <v>0</v>
      </c>
      <c r="N67" s="1377">
        <f>'P2. Buxheti Cash flow Viti 2022'!$I37*'P10. Cash Flow 2022'!N9</f>
        <v>0</v>
      </c>
      <c r="O67" s="1240">
        <f t="shared" si="7"/>
        <v>0</v>
      </c>
      <c r="P67" s="1237"/>
    </row>
    <row r="68" spans="1:17" ht="15" customHeight="1">
      <c r="A68" s="1238">
        <v>603</v>
      </c>
      <c r="B68" s="1239" t="s">
        <v>81</v>
      </c>
      <c r="C68" s="1377">
        <f>'P2. Buxheti Cash flow Viti 2022'!$J37*'P10. Cash Flow 2022'!C9</f>
        <v>0</v>
      </c>
      <c r="D68" s="1377">
        <f>'P2. Buxheti Cash flow Viti 2022'!$J37*'P10. Cash Flow 2022'!D9</f>
        <v>0</v>
      </c>
      <c r="E68" s="1377">
        <f>'P2. Buxheti Cash flow Viti 2022'!$J37*'P10. Cash Flow 2022'!E9</f>
        <v>0</v>
      </c>
      <c r="F68" s="1377">
        <f>'P2. Buxheti Cash flow Viti 2022'!$J37*'P10. Cash Flow 2022'!F9</f>
        <v>0</v>
      </c>
      <c r="G68" s="1377">
        <f>'P2. Buxheti Cash flow Viti 2022'!$J37*'P10. Cash Flow 2022'!G9</f>
        <v>0</v>
      </c>
      <c r="H68" s="1377">
        <f>'P2. Buxheti Cash flow Viti 2022'!$J37*'P10. Cash Flow 2022'!H9</f>
        <v>0</v>
      </c>
      <c r="I68" s="1377">
        <f>'P2. Buxheti Cash flow Viti 2022'!$J37*'P10. Cash Flow 2022'!I9</f>
        <v>0</v>
      </c>
      <c r="J68" s="1377">
        <f>'P2. Buxheti Cash flow Viti 2022'!$J37*'P10. Cash Flow 2022'!J9</f>
        <v>0</v>
      </c>
      <c r="K68" s="1377">
        <f>'P2. Buxheti Cash flow Viti 2022'!$J37*'P10. Cash Flow 2022'!K9</f>
        <v>0</v>
      </c>
      <c r="L68" s="1377">
        <f>'P2. Buxheti Cash flow Viti 2022'!$J37*'P10. Cash Flow 2022'!L9</f>
        <v>0</v>
      </c>
      <c r="M68" s="1377">
        <f>'P2. Buxheti Cash flow Viti 2022'!$J37*'P10. Cash Flow 2022'!M9</f>
        <v>0</v>
      </c>
      <c r="N68" s="1377">
        <f>'P2. Buxheti Cash flow Viti 2022'!$J37*'P10. Cash Flow 2022'!N9</f>
        <v>0</v>
      </c>
      <c r="O68" s="1240">
        <f t="shared" si="7"/>
        <v>0</v>
      </c>
      <c r="P68" s="1237"/>
    </row>
    <row r="69" spans="1:17" ht="15" customHeight="1">
      <c r="A69" s="1238">
        <v>604</v>
      </c>
      <c r="B69" s="1280" t="s">
        <v>122</v>
      </c>
      <c r="C69" s="1377">
        <f>'P2. Buxheti Cash flow Viti 2022'!$K37*'P10. Cash Flow 2022'!C9</f>
        <v>0</v>
      </c>
      <c r="D69" s="1377">
        <f>'P2. Buxheti Cash flow Viti 2022'!$K37*'P10. Cash Flow 2022'!D9</f>
        <v>0</v>
      </c>
      <c r="E69" s="1377">
        <f>'P2. Buxheti Cash flow Viti 2022'!$K37*'P10. Cash Flow 2022'!E9</f>
        <v>0</v>
      </c>
      <c r="F69" s="1377">
        <f>'P2. Buxheti Cash flow Viti 2022'!$K37*'P10. Cash Flow 2022'!F9</f>
        <v>0</v>
      </c>
      <c r="G69" s="1377">
        <f>'P2. Buxheti Cash flow Viti 2022'!$K37*'P10. Cash Flow 2022'!G9</f>
        <v>0</v>
      </c>
      <c r="H69" s="1377">
        <f>'P2. Buxheti Cash flow Viti 2022'!$K37*'P10. Cash Flow 2022'!H9</f>
        <v>0</v>
      </c>
      <c r="I69" s="1377">
        <f>'P2. Buxheti Cash flow Viti 2022'!$K37*'P10. Cash Flow 2022'!I9</f>
        <v>0</v>
      </c>
      <c r="J69" s="1377">
        <f>'P2. Buxheti Cash flow Viti 2022'!$K37*'P10. Cash Flow 2022'!J9</f>
        <v>0</v>
      </c>
      <c r="K69" s="1377">
        <f>'P2. Buxheti Cash flow Viti 2022'!$K37*'P10. Cash Flow 2022'!K9</f>
        <v>0</v>
      </c>
      <c r="L69" s="1377">
        <f>'P2. Buxheti Cash flow Viti 2022'!$K37*'P10. Cash Flow 2022'!L9</f>
        <v>0</v>
      </c>
      <c r="M69" s="1377">
        <f>'P2. Buxheti Cash flow Viti 2022'!$K37*'P10. Cash Flow 2022'!M9</f>
        <v>0</v>
      </c>
      <c r="N69" s="1377">
        <f>'P2. Buxheti Cash flow Viti 2022'!$K37*'P10. Cash Flow 2022'!N9</f>
        <v>0</v>
      </c>
      <c r="O69" s="1240">
        <f t="shared" si="7"/>
        <v>0</v>
      </c>
      <c r="P69" s="1237"/>
    </row>
    <row r="70" spans="1:17" ht="15" customHeight="1">
      <c r="A70" s="1238">
        <v>605</v>
      </c>
      <c r="B70" s="1239" t="s">
        <v>123</v>
      </c>
      <c r="C70" s="1377">
        <f>'P2. Buxheti Cash flow Viti 2022'!$M37*'P10. Cash Flow 2022'!C9</f>
        <v>0</v>
      </c>
      <c r="D70" s="1377">
        <f>'P2. Buxheti Cash flow Viti 2022'!$M37*'P10. Cash Flow 2022'!D9</f>
        <v>0</v>
      </c>
      <c r="E70" s="1377">
        <f>'P2. Buxheti Cash flow Viti 2022'!$M37*'P10. Cash Flow 2022'!E9</f>
        <v>0</v>
      </c>
      <c r="F70" s="1377">
        <f>'P2. Buxheti Cash flow Viti 2022'!$M37*'P10. Cash Flow 2022'!F9</f>
        <v>0</v>
      </c>
      <c r="G70" s="1377">
        <f>'P2. Buxheti Cash flow Viti 2022'!$M37*'P10. Cash Flow 2022'!G9</f>
        <v>0</v>
      </c>
      <c r="H70" s="1377">
        <f>'P2. Buxheti Cash flow Viti 2022'!$M37*'P10. Cash Flow 2022'!H9</f>
        <v>0</v>
      </c>
      <c r="I70" s="1377">
        <f>'P2. Buxheti Cash flow Viti 2022'!$M37*'P10. Cash Flow 2022'!I9</f>
        <v>0</v>
      </c>
      <c r="J70" s="1377">
        <f>'P2. Buxheti Cash flow Viti 2022'!$M37*'P10. Cash Flow 2022'!J9</f>
        <v>0</v>
      </c>
      <c r="K70" s="1377">
        <f>'P2. Buxheti Cash flow Viti 2022'!$M37*'P10. Cash Flow 2022'!K9</f>
        <v>0</v>
      </c>
      <c r="L70" s="1377">
        <f>'P2. Buxheti Cash flow Viti 2022'!$M37*'P10. Cash Flow 2022'!L9</f>
        <v>0</v>
      </c>
      <c r="M70" s="1377">
        <f>'P2. Buxheti Cash flow Viti 2022'!$M37*'P10. Cash Flow 2022'!M9</f>
        <v>0</v>
      </c>
      <c r="N70" s="1377">
        <f>'P2. Buxheti Cash flow Viti 2022'!$M37*'P10. Cash Flow 2022'!N9</f>
        <v>0</v>
      </c>
      <c r="O70" s="1240">
        <f t="shared" si="7"/>
        <v>0</v>
      </c>
      <c r="P70" s="1237"/>
    </row>
    <row r="71" spans="1:17" ht="15" customHeight="1">
      <c r="A71" s="1238">
        <v>606</v>
      </c>
      <c r="B71" s="1239" t="s">
        <v>124</v>
      </c>
      <c r="C71" s="1377">
        <f>'P2. Buxheti Cash flow Viti 2022'!$M37*'P10. Cash Flow 2022'!C9</f>
        <v>0</v>
      </c>
      <c r="D71" s="1377">
        <f>'P2. Buxheti Cash flow Viti 2022'!$M37*'P10. Cash Flow 2022'!D9</f>
        <v>0</v>
      </c>
      <c r="E71" s="1377">
        <f>'P2. Buxheti Cash flow Viti 2022'!$M37*'P10. Cash Flow 2022'!E9</f>
        <v>0</v>
      </c>
      <c r="F71" s="1377">
        <f>'P2. Buxheti Cash flow Viti 2022'!$M37*'P10. Cash Flow 2022'!F9</f>
        <v>0</v>
      </c>
      <c r="G71" s="1377">
        <f>'P2. Buxheti Cash flow Viti 2022'!$M37*'P10. Cash Flow 2022'!G9</f>
        <v>0</v>
      </c>
      <c r="H71" s="1377">
        <f>'P2. Buxheti Cash flow Viti 2022'!$M37*'P10. Cash Flow 2022'!H9</f>
        <v>0</v>
      </c>
      <c r="I71" s="1377">
        <f>'P2. Buxheti Cash flow Viti 2022'!$M37*'P10. Cash Flow 2022'!I9</f>
        <v>0</v>
      </c>
      <c r="J71" s="1377">
        <f>'P2. Buxheti Cash flow Viti 2022'!$M37*'P10. Cash Flow 2022'!J9</f>
        <v>0</v>
      </c>
      <c r="K71" s="1377">
        <f>'P2. Buxheti Cash flow Viti 2022'!$M37*'P10. Cash Flow 2022'!K9</f>
        <v>0</v>
      </c>
      <c r="L71" s="1377">
        <f>'P2. Buxheti Cash flow Viti 2022'!$M37*'P10. Cash Flow 2022'!L9</f>
        <v>0</v>
      </c>
      <c r="M71" s="1377">
        <f>'P2. Buxheti Cash flow Viti 2022'!$M37*'P10. Cash Flow 2022'!M9</f>
        <v>0</v>
      </c>
      <c r="N71" s="1377">
        <f>'P2. Buxheti Cash flow Viti 2022'!$M37*'P10. Cash Flow 2022'!N9</f>
        <v>0</v>
      </c>
      <c r="O71" s="1240">
        <f t="shared" si="7"/>
        <v>0</v>
      </c>
      <c r="P71" s="1237"/>
    </row>
    <row r="72" spans="1:17" ht="15" customHeight="1">
      <c r="A72" s="1238">
        <v>230</v>
      </c>
      <c r="B72" s="1239" t="s">
        <v>126</v>
      </c>
      <c r="C72" s="1377">
        <f>'P2. Buxheti Cash flow Viti 2022'!$N37*'P10. Cash Flow 2022'!C8</f>
        <v>0</v>
      </c>
      <c r="D72" s="1377">
        <f>'P2. Buxheti Cash flow Viti 2022'!$N37*'P10. Cash Flow 2022'!D8</f>
        <v>0</v>
      </c>
      <c r="E72" s="1377">
        <f>'P2. Buxheti Cash flow Viti 2022'!$N37*'P10. Cash Flow 2022'!E8</f>
        <v>0</v>
      </c>
      <c r="F72" s="1377">
        <f>'P2. Buxheti Cash flow Viti 2022'!$N37*'P10. Cash Flow 2022'!F8</f>
        <v>0</v>
      </c>
      <c r="G72" s="1377">
        <f>'P2. Buxheti Cash flow Viti 2022'!$N37*'P10. Cash Flow 2022'!G8</f>
        <v>0</v>
      </c>
      <c r="H72" s="1377">
        <f>'P2. Buxheti Cash flow Viti 2022'!$N37*'P10. Cash Flow 2022'!H8</f>
        <v>0</v>
      </c>
      <c r="I72" s="1377">
        <f>'P2. Buxheti Cash flow Viti 2022'!$N37*'P10. Cash Flow 2022'!I8</f>
        <v>0</v>
      </c>
      <c r="J72" s="1377">
        <f>'P2. Buxheti Cash flow Viti 2022'!$N37*'P10. Cash Flow 2022'!J8</f>
        <v>0</v>
      </c>
      <c r="K72" s="1377">
        <f>'P2. Buxheti Cash flow Viti 2022'!$N37*'P10. Cash Flow 2022'!K8</f>
        <v>0</v>
      </c>
      <c r="L72" s="1377">
        <f>'P2. Buxheti Cash flow Viti 2022'!$N37*'P10. Cash Flow 2022'!L8</f>
        <v>0</v>
      </c>
      <c r="M72" s="1377">
        <f>'P2. Buxheti Cash flow Viti 2022'!$N37*'P10. Cash Flow 2022'!M8</f>
        <v>0</v>
      </c>
      <c r="N72" s="1377">
        <f>'P2. Buxheti Cash flow Viti 2022'!$N37*'P10. Cash Flow 2022'!N8</f>
        <v>0</v>
      </c>
      <c r="O72" s="1240">
        <f t="shared" si="7"/>
        <v>0</v>
      </c>
      <c r="P72" s="1237"/>
    </row>
    <row r="73" spans="1:17" ht="15" customHeight="1">
      <c r="A73" s="1238">
        <v>231</v>
      </c>
      <c r="B73" s="1239" t="s">
        <v>125</v>
      </c>
      <c r="C73" s="1377">
        <f>'P2. Buxheti Cash flow Viti 2022'!$O37*'P10. Cash Flow 2022'!C8</f>
        <v>0</v>
      </c>
      <c r="D73" s="1377">
        <f>'P2. Buxheti Cash flow Viti 2022'!$O37*'P10. Cash Flow 2022'!D8</f>
        <v>0</v>
      </c>
      <c r="E73" s="1377">
        <f>'P2. Buxheti Cash flow Viti 2022'!$O37*'P10. Cash Flow 2022'!E8</f>
        <v>0</v>
      </c>
      <c r="F73" s="1377">
        <f>'P2. Buxheti Cash flow Viti 2022'!$O37*'P10. Cash Flow 2022'!F8</f>
        <v>0</v>
      </c>
      <c r="G73" s="1377">
        <f>'P2. Buxheti Cash flow Viti 2022'!$O37*'P10. Cash Flow 2022'!G8</f>
        <v>0</v>
      </c>
      <c r="H73" s="1377">
        <f>'P2. Buxheti Cash flow Viti 2022'!$O37*'P10. Cash Flow 2022'!H8</f>
        <v>0</v>
      </c>
      <c r="I73" s="1377">
        <f>'P2. Buxheti Cash flow Viti 2022'!$O37*'P10. Cash Flow 2022'!I8</f>
        <v>0</v>
      </c>
      <c r="J73" s="1377">
        <f>'P2. Buxheti Cash flow Viti 2022'!$O37*'P10. Cash Flow 2022'!J8</f>
        <v>0</v>
      </c>
      <c r="K73" s="1377">
        <f>'P2. Buxheti Cash flow Viti 2022'!$O37*'P10. Cash Flow 2022'!K8</f>
        <v>0</v>
      </c>
      <c r="L73" s="1377">
        <f>'P2. Buxheti Cash flow Viti 2022'!$O37*'P10. Cash Flow 2022'!L8</f>
        <v>0</v>
      </c>
      <c r="M73" s="1377">
        <f>'P2. Buxheti Cash flow Viti 2022'!$O37*'P10. Cash Flow 2022'!M8</f>
        <v>0</v>
      </c>
      <c r="N73" s="1377">
        <f>'P2. Buxheti Cash flow Viti 2022'!$O37*'P10. Cash Flow 2022'!N8</f>
        <v>0</v>
      </c>
      <c r="O73" s="1240">
        <f t="shared" si="7"/>
        <v>0</v>
      </c>
      <c r="P73" s="1237"/>
    </row>
    <row r="74" spans="1:17" ht="15" customHeight="1">
      <c r="A74" s="1238">
        <v>230</v>
      </c>
      <c r="B74" s="1239" t="s">
        <v>127</v>
      </c>
      <c r="C74" s="1378">
        <v>0</v>
      </c>
      <c r="D74" s="1378">
        <v>0</v>
      </c>
      <c r="E74" s="1378">
        <v>0</v>
      </c>
      <c r="F74" s="1378">
        <v>0</v>
      </c>
      <c r="G74" s="1378">
        <v>0</v>
      </c>
      <c r="H74" s="1378">
        <v>0</v>
      </c>
      <c r="I74" s="1378">
        <v>0</v>
      </c>
      <c r="J74" s="1378">
        <v>0</v>
      </c>
      <c r="K74" s="1378">
        <v>0</v>
      </c>
      <c r="L74" s="1378">
        <v>0</v>
      </c>
      <c r="M74" s="1378">
        <v>0</v>
      </c>
      <c r="N74" s="1378">
        <v>0</v>
      </c>
      <c r="O74" s="1240">
        <f t="shared" si="7"/>
        <v>0</v>
      </c>
      <c r="P74" s="1237"/>
    </row>
    <row r="75" spans="1:17" ht="15" customHeight="1">
      <c r="A75" s="1265">
        <v>231</v>
      </c>
      <c r="B75" s="1266" t="s">
        <v>128</v>
      </c>
      <c r="C75" s="1378">
        <v>0</v>
      </c>
      <c r="D75" s="1378">
        <v>0</v>
      </c>
      <c r="E75" s="1378">
        <v>0</v>
      </c>
      <c r="F75" s="1378">
        <v>0</v>
      </c>
      <c r="G75" s="1378">
        <v>0</v>
      </c>
      <c r="H75" s="1378">
        <v>0</v>
      </c>
      <c r="I75" s="1378">
        <v>0</v>
      </c>
      <c r="J75" s="1378">
        <v>0</v>
      </c>
      <c r="K75" s="1378">
        <v>0</v>
      </c>
      <c r="L75" s="1378">
        <v>0</v>
      </c>
      <c r="M75" s="1378">
        <v>0</v>
      </c>
      <c r="N75" s="1378">
        <v>0</v>
      </c>
      <c r="O75" s="1267">
        <f t="shared" si="7"/>
        <v>0</v>
      </c>
      <c r="P75" s="1241"/>
      <c r="Q75" s="1242" t="s">
        <v>980</v>
      </c>
    </row>
    <row r="76" spans="1:17" ht="15" customHeight="1" thickBot="1">
      <c r="A76" s="1243"/>
      <c r="B76" s="1244" t="s">
        <v>981</v>
      </c>
      <c r="C76" s="1268">
        <f t="shared" ref="C76:O76" si="8">SUM(C65:C75)</f>
        <v>0</v>
      </c>
      <c r="D76" s="1268">
        <f t="shared" si="8"/>
        <v>0</v>
      </c>
      <c r="E76" s="1268">
        <f t="shared" si="8"/>
        <v>0</v>
      </c>
      <c r="F76" s="1268">
        <f t="shared" si="8"/>
        <v>0</v>
      </c>
      <c r="G76" s="1268">
        <f t="shared" si="8"/>
        <v>0</v>
      </c>
      <c r="H76" s="1268">
        <f t="shared" si="8"/>
        <v>0</v>
      </c>
      <c r="I76" s="1268">
        <f t="shared" si="8"/>
        <v>0</v>
      </c>
      <c r="J76" s="1268">
        <f t="shared" si="8"/>
        <v>0</v>
      </c>
      <c r="K76" s="1268">
        <f t="shared" si="8"/>
        <v>0</v>
      </c>
      <c r="L76" s="1268">
        <f t="shared" si="8"/>
        <v>0</v>
      </c>
      <c r="M76" s="1268">
        <f t="shared" si="8"/>
        <v>0</v>
      </c>
      <c r="N76" s="1268">
        <f t="shared" si="8"/>
        <v>0</v>
      </c>
      <c r="O76" s="1268">
        <f t="shared" si="8"/>
        <v>0</v>
      </c>
      <c r="P76" s="1247">
        <f>SUM(P75)</f>
        <v>0</v>
      </c>
    </row>
    <row r="77" spans="1:17" ht="15" customHeight="1">
      <c r="A77" s="1248">
        <v>6</v>
      </c>
      <c r="B77" s="1249" t="str">
        <f>'P2. Buxheti Cash flow Viti 2022'!D43</f>
        <v xml:space="preserve">Programi per Sportit </v>
      </c>
      <c r="C77" s="1250"/>
      <c r="D77" s="1250"/>
      <c r="E77" s="1250"/>
      <c r="F77" s="1250"/>
      <c r="G77" s="1250"/>
      <c r="H77" s="1250"/>
      <c r="I77" s="1250"/>
      <c r="J77" s="1250"/>
      <c r="K77" s="1250"/>
      <c r="L77" s="1250"/>
      <c r="M77" s="1250"/>
      <c r="N77" s="1250"/>
      <c r="O77" s="1281"/>
      <c r="P77" s="1252"/>
    </row>
    <row r="78" spans="1:17" ht="15" customHeight="1">
      <c r="A78" s="1234">
        <v>600</v>
      </c>
      <c r="B78" s="1235" t="s">
        <v>75</v>
      </c>
      <c r="C78" s="1381">
        <f>'P2. Buxheti Cash flow Viti 2022'!$G43*'P10. Cash Flow 2022'!C10</f>
        <v>1005.03</v>
      </c>
      <c r="D78" s="1381">
        <f>'P2. Buxheti Cash flow Viti 2022'!$G43*'P10. Cash Flow 2022'!D10</f>
        <v>1005.03</v>
      </c>
      <c r="E78" s="1381">
        <f>'P2. Buxheti Cash flow Viti 2022'!$G43*'P10. Cash Flow 2022'!E10</f>
        <v>949.19500000000005</v>
      </c>
      <c r="F78" s="1381">
        <f>'P2. Buxheti Cash flow Viti 2022'!$G43*'P10. Cash Flow 2022'!F10</f>
        <v>915.69400000000007</v>
      </c>
      <c r="G78" s="1381">
        <f>'P2. Buxheti Cash flow Viti 2022'!$G43*'P10. Cash Flow 2022'!G10</f>
        <v>915.69400000000007</v>
      </c>
      <c r="H78" s="1381">
        <f>'P2. Buxheti Cash flow Viti 2022'!$G43*'P10. Cash Flow 2022'!H10</f>
        <v>915.69400000000007</v>
      </c>
      <c r="I78" s="1381">
        <f>'P2. Buxheti Cash flow Viti 2022'!$G43*'P10. Cash Flow 2022'!I10</f>
        <v>915.69400000000007</v>
      </c>
      <c r="J78" s="1381">
        <f>'P2. Buxheti Cash flow Viti 2022'!$G43*'P10. Cash Flow 2022'!J10</f>
        <v>893.36</v>
      </c>
      <c r="K78" s="1381">
        <f>'P2. Buxheti Cash flow Viti 2022'!$G43*'P10. Cash Flow 2022'!K10</f>
        <v>893.36</v>
      </c>
      <c r="L78" s="1381">
        <f>'P2. Buxheti Cash flow Viti 2022'!$G43*'P10. Cash Flow 2022'!L10</f>
        <v>893.36</v>
      </c>
      <c r="M78" s="1381">
        <f>'P2. Buxheti Cash flow Viti 2022'!$G43*'P10. Cash Flow 2022'!M10</f>
        <v>915.69400000000007</v>
      </c>
      <c r="N78" s="1381">
        <f>'P2. Buxheti Cash flow Viti 2022'!$G43*'P10. Cash Flow 2022'!N10</f>
        <v>949.19500000000005</v>
      </c>
      <c r="O78" s="1236">
        <f t="shared" ref="O78:O88" si="9">SUM(C78:N78)</f>
        <v>11167</v>
      </c>
      <c r="P78" s="1254"/>
    </row>
    <row r="79" spans="1:17" ht="15" customHeight="1">
      <c r="A79" s="1238">
        <v>601</v>
      </c>
      <c r="B79" s="1239" t="s">
        <v>121</v>
      </c>
      <c r="C79" s="1377">
        <f>'P2. Buxheti Cash flow Viti 2022'!$H43*'P10. Cash Flow 2022'!C10</f>
        <v>167.85</v>
      </c>
      <c r="D79" s="1377">
        <f>'P2. Buxheti Cash flow Viti 2022'!$H43*'P10. Cash Flow 2022'!D10</f>
        <v>167.85</v>
      </c>
      <c r="E79" s="1377">
        <f>'P2. Buxheti Cash flow Viti 2022'!$H43*'P10. Cash Flow 2022'!E10</f>
        <v>158.52500000000001</v>
      </c>
      <c r="F79" s="1377">
        <f>'P2. Buxheti Cash flow Viti 2022'!$H43*'P10. Cash Flow 2022'!F10</f>
        <v>152.93</v>
      </c>
      <c r="G79" s="1377">
        <f>'P2. Buxheti Cash flow Viti 2022'!$H43*'P10. Cash Flow 2022'!G10</f>
        <v>152.93</v>
      </c>
      <c r="H79" s="1377">
        <f>'P2. Buxheti Cash flow Viti 2022'!$H43*'P10. Cash Flow 2022'!H10</f>
        <v>152.93</v>
      </c>
      <c r="I79" s="1377">
        <f>'P2. Buxheti Cash flow Viti 2022'!$H43*'P10. Cash Flow 2022'!I10</f>
        <v>152.93</v>
      </c>
      <c r="J79" s="1377">
        <f>'P2. Buxheti Cash flow Viti 2022'!$H43*'P10. Cash Flow 2022'!J10</f>
        <v>149.20000000000002</v>
      </c>
      <c r="K79" s="1377">
        <f>'P2. Buxheti Cash flow Viti 2022'!$H43*'P10. Cash Flow 2022'!K10</f>
        <v>149.20000000000002</v>
      </c>
      <c r="L79" s="1377">
        <f>'P2. Buxheti Cash flow Viti 2022'!$H43*'P10. Cash Flow 2022'!L10</f>
        <v>149.20000000000002</v>
      </c>
      <c r="M79" s="1377">
        <f>'P2. Buxheti Cash flow Viti 2022'!$H43*'P10. Cash Flow 2022'!M10</f>
        <v>152.93</v>
      </c>
      <c r="N79" s="1377">
        <f>'P2. Buxheti Cash flow Viti 2022'!$H43*'P10. Cash Flow 2022'!N10</f>
        <v>158.52500000000001</v>
      </c>
      <c r="O79" s="1279">
        <f t="shared" si="9"/>
        <v>1865.0000000000005</v>
      </c>
      <c r="P79" s="1254"/>
    </row>
    <row r="80" spans="1:17" ht="15" customHeight="1">
      <c r="A80" s="1238">
        <v>602</v>
      </c>
      <c r="B80" s="1239" t="s">
        <v>142</v>
      </c>
      <c r="C80" s="1377">
        <f>'P2. Buxheti Cash flow Viti 2022'!$I43*'P10. Cash Flow 2022'!C9</f>
        <v>416.5</v>
      </c>
      <c r="D80" s="1377">
        <f>'P2. Buxheti Cash flow Viti 2022'!$I43*'P10. Cash Flow 2022'!D9</f>
        <v>416.5</v>
      </c>
      <c r="E80" s="1377">
        <f>'P2. Buxheti Cash flow Viti 2022'!$I43*'P10. Cash Flow 2022'!E9</f>
        <v>416.5</v>
      </c>
      <c r="F80" s="1377">
        <f>'P2. Buxheti Cash flow Viti 2022'!$I43*'P10. Cash Flow 2022'!F9</f>
        <v>416.5</v>
      </c>
      <c r="G80" s="1377">
        <f>'P2. Buxheti Cash flow Viti 2022'!$I43*'P10. Cash Flow 2022'!G9</f>
        <v>416.5</v>
      </c>
      <c r="H80" s="1377">
        <f>'P2. Buxheti Cash flow Viti 2022'!$I43*'P10. Cash Flow 2022'!H9</f>
        <v>416.5</v>
      </c>
      <c r="I80" s="1377">
        <f>'P2. Buxheti Cash flow Viti 2022'!$I43*'P10. Cash Flow 2022'!I9</f>
        <v>416.5</v>
      </c>
      <c r="J80" s="1377">
        <f>'P2. Buxheti Cash flow Viti 2022'!$I43*'P10. Cash Flow 2022'!J9</f>
        <v>416.5</v>
      </c>
      <c r="K80" s="1377">
        <f>'P2. Buxheti Cash flow Viti 2022'!$I43*'P10. Cash Flow 2022'!K9</f>
        <v>208.25</v>
      </c>
      <c r="L80" s="1377">
        <f>'P2. Buxheti Cash flow Viti 2022'!$I43*'P10. Cash Flow 2022'!L9</f>
        <v>208.25</v>
      </c>
      <c r="M80" s="1377">
        <f>'P2. Buxheti Cash flow Viti 2022'!$I43*'P10. Cash Flow 2022'!M9</f>
        <v>208.25</v>
      </c>
      <c r="N80" s="1377">
        <f>'P2. Buxheti Cash flow Viti 2022'!$I43*'P10. Cash Flow 2022'!N9</f>
        <v>208.25</v>
      </c>
      <c r="O80" s="1240">
        <f t="shared" si="9"/>
        <v>4165</v>
      </c>
      <c r="P80" s="1254"/>
    </row>
    <row r="81" spans="1:16" ht="15" customHeight="1">
      <c r="A81" s="1238">
        <v>603</v>
      </c>
      <c r="B81" s="1239" t="s">
        <v>81</v>
      </c>
      <c r="C81" s="1377">
        <f>'P2. Buxheti Cash flow Viti 2022'!$J43*'P10. Cash Flow 2022'!C9</f>
        <v>0</v>
      </c>
      <c r="D81" s="1377">
        <f>'P2. Buxheti Cash flow Viti 2022'!$J43*'P10. Cash Flow 2022'!D9</f>
        <v>0</v>
      </c>
      <c r="E81" s="1377">
        <f>'P2. Buxheti Cash flow Viti 2022'!$J43*'P10. Cash Flow 2022'!E9</f>
        <v>0</v>
      </c>
      <c r="F81" s="1377">
        <f>'P2. Buxheti Cash flow Viti 2022'!$J43*'P10. Cash Flow 2022'!F9</f>
        <v>0</v>
      </c>
      <c r="G81" s="1377">
        <f>'P2. Buxheti Cash flow Viti 2022'!$J43*'P10. Cash Flow 2022'!G9</f>
        <v>0</v>
      </c>
      <c r="H81" s="1377">
        <f>'P2. Buxheti Cash flow Viti 2022'!$J43*'P10. Cash Flow 2022'!H9</f>
        <v>0</v>
      </c>
      <c r="I81" s="1377">
        <f>'P2. Buxheti Cash flow Viti 2022'!$J43*'P10. Cash Flow 2022'!I9</f>
        <v>0</v>
      </c>
      <c r="J81" s="1377">
        <f>'P2. Buxheti Cash flow Viti 2022'!$J43*'P10. Cash Flow 2022'!J9</f>
        <v>0</v>
      </c>
      <c r="K81" s="1377">
        <f>'P2. Buxheti Cash flow Viti 2022'!$J43*'P10. Cash Flow 2022'!K9</f>
        <v>0</v>
      </c>
      <c r="L81" s="1377">
        <f>'P2. Buxheti Cash flow Viti 2022'!$J43*'P10. Cash Flow 2022'!L9</f>
        <v>0</v>
      </c>
      <c r="M81" s="1377">
        <f>'P2. Buxheti Cash flow Viti 2022'!$J43*'P10. Cash Flow 2022'!M9</f>
        <v>0</v>
      </c>
      <c r="N81" s="1377">
        <f>'P2. Buxheti Cash flow Viti 2022'!$J43*'P10. Cash Flow 2022'!N9</f>
        <v>0</v>
      </c>
      <c r="O81" s="1240">
        <f t="shared" si="9"/>
        <v>0</v>
      </c>
      <c r="P81" s="1254"/>
    </row>
    <row r="82" spans="1:16" ht="15" customHeight="1">
      <c r="A82" s="1238">
        <v>604</v>
      </c>
      <c r="B82" s="1239" t="s">
        <v>122</v>
      </c>
      <c r="C82" s="1377">
        <f>'P2. Buxheti Cash flow Viti 2022'!$K43*'P10. Cash Flow 2022'!C9</f>
        <v>0</v>
      </c>
      <c r="D82" s="1377">
        <f>'P2. Buxheti Cash flow Viti 2022'!$K43*'P10. Cash Flow 2022'!D9</f>
        <v>0</v>
      </c>
      <c r="E82" s="1377">
        <f>'P2. Buxheti Cash flow Viti 2022'!$K43*'P10. Cash Flow 2022'!E9</f>
        <v>0</v>
      </c>
      <c r="F82" s="1377">
        <f>'P2. Buxheti Cash flow Viti 2022'!$K43*'P10. Cash Flow 2022'!F9</f>
        <v>0</v>
      </c>
      <c r="G82" s="1377">
        <f>'P2. Buxheti Cash flow Viti 2022'!$K43*'P10. Cash Flow 2022'!G9</f>
        <v>0</v>
      </c>
      <c r="H82" s="1377">
        <f>'P2. Buxheti Cash flow Viti 2022'!$K43*'P10. Cash Flow 2022'!H9</f>
        <v>0</v>
      </c>
      <c r="I82" s="1377">
        <f>'P2. Buxheti Cash flow Viti 2022'!$K43*'P10. Cash Flow 2022'!I9</f>
        <v>0</v>
      </c>
      <c r="J82" s="1377">
        <f>'P2. Buxheti Cash flow Viti 2022'!$K43*'P10. Cash Flow 2022'!J9</f>
        <v>0</v>
      </c>
      <c r="K82" s="1377">
        <f>'P2. Buxheti Cash flow Viti 2022'!$K43*'P10. Cash Flow 2022'!K9</f>
        <v>0</v>
      </c>
      <c r="L82" s="1377">
        <f>'P2. Buxheti Cash flow Viti 2022'!$K43*'P10. Cash Flow 2022'!L9</f>
        <v>0</v>
      </c>
      <c r="M82" s="1377">
        <f>'P2. Buxheti Cash flow Viti 2022'!$K43*'P10. Cash Flow 2022'!M9</f>
        <v>0</v>
      </c>
      <c r="N82" s="1377">
        <f>'P2. Buxheti Cash flow Viti 2022'!$K43*'P10. Cash Flow 2022'!N9</f>
        <v>0</v>
      </c>
      <c r="O82" s="1240">
        <f t="shared" si="9"/>
        <v>0</v>
      </c>
      <c r="P82" s="1254"/>
    </row>
    <row r="83" spans="1:16" ht="15" customHeight="1">
      <c r="A83" s="1238">
        <v>605</v>
      </c>
      <c r="B83" s="1239" t="s">
        <v>123</v>
      </c>
      <c r="C83" s="1377">
        <v>3000</v>
      </c>
      <c r="D83" s="1377">
        <v>2500</v>
      </c>
      <c r="E83" s="1377"/>
      <c r="F83" s="1377"/>
      <c r="G83" s="1377"/>
      <c r="H83" s="1377"/>
      <c r="I83" s="1377"/>
      <c r="J83" s="1377"/>
      <c r="K83" s="1377"/>
      <c r="L83" s="1377"/>
      <c r="M83" s="1377"/>
      <c r="N83" s="1377"/>
      <c r="O83" s="1240">
        <f t="shared" si="9"/>
        <v>5500</v>
      </c>
      <c r="P83" s="1254"/>
    </row>
    <row r="84" spans="1:16" ht="15" customHeight="1">
      <c r="A84" s="1238">
        <v>606</v>
      </c>
      <c r="B84" s="1239" t="s">
        <v>124</v>
      </c>
      <c r="C84" s="1377">
        <f>'P2. Buxheti Cash flow Viti 2022'!$M43*'P10. Cash Flow 2022'!C9</f>
        <v>0</v>
      </c>
      <c r="D84" s="1377">
        <f>'P2. Buxheti Cash flow Viti 2022'!$M43*'P10. Cash Flow 2022'!D9</f>
        <v>0</v>
      </c>
      <c r="E84" s="1377">
        <f>'P2. Buxheti Cash flow Viti 2022'!$M43*'P10. Cash Flow 2022'!E9</f>
        <v>0</v>
      </c>
      <c r="F84" s="1377">
        <f>'P2. Buxheti Cash flow Viti 2022'!$M43*'P10. Cash Flow 2022'!F9</f>
        <v>0</v>
      </c>
      <c r="G84" s="1377">
        <f>'P2. Buxheti Cash flow Viti 2022'!$M43*'P10. Cash Flow 2022'!G9</f>
        <v>0</v>
      </c>
      <c r="H84" s="1377">
        <f>'P2. Buxheti Cash flow Viti 2022'!$M43*'P10. Cash Flow 2022'!H9</f>
        <v>0</v>
      </c>
      <c r="I84" s="1377">
        <f>'P2. Buxheti Cash flow Viti 2022'!$M43*'P10. Cash Flow 2022'!I9</f>
        <v>0</v>
      </c>
      <c r="J84" s="1377">
        <f>'P2. Buxheti Cash flow Viti 2022'!$M43*'P10. Cash Flow 2022'!J9</f>
        <v>0</v>
      </c>
      <c r="K84" s="1377">
        <f>'P2. Buxheti Cash flow Viti 2022'!$M43*'P10. Cash Flow 2022'!K9</f>
        <v>0</v>
      </c>
      <c r="L84" s="1377">
        <f>'P2. Buxheti Cash flow Viti 2022'!$M43*'P10. Cash Flow 2022'!L9</f>
        <v>0</v>
      </c>
      <c r="M84" s="1377">
        <f>'P2. Buxheti Cash flow Viti 2022'!$M43*'P10. Cash Flow 2022'!M9</f>
        <v>0</v>
      </c>
      <c r="N84" s="1377">
        <f>'P2. Buxheti Cash flow Viti 2022'!$M43*'P10. Cash Flow 2022'!N9</f>
        <v>0</v>
      </c>
      <c r="O84" s="1240">
        <f t="shared" si="9"/>
        <v>0</v>
      </c>
      <c r="P84" s="1254"/>
    </row>
    <row r="85" spans="1:16" ht="15" customHeight="1">
      <c r="A85" s="1238">
        <v>230</v>
      </c>
      <c r="B85" s="1239" t="s">
        <v>126</v>
      </c>
      <c r="C85" s="1377">
        <f>'P2. Buxheti Cash flow Viti 2022'!$N43*'P10. Cash Flow 2022'!C8</f>
        <v>255</v>
      </c>
      <c r="D85" s="1377">
        <f>'P2. Buxheti Cash flow Viti 2022'!$N43*'P10. Cash Flow 2022'!D8</f>
        <v>255</v>
      </c>
      <c r="E85" s="1377">
        <f>'P2. Buxheti Cash flow Viti 2022'!$N43*'P10. Cash Flow 2022'!E8</f>
        <v>170</v>
      </c>
      <c r="F85" s="1377">
        <f>'P2. Buxheti Cash flow Viti 2022'!$N43*'P10. Cash Flow 2022'!F8</f>
        <v>170</v>
      </c>
      <c r="G85" s="1377">
        <f>'P2. Buxheti Cash flow Viti 2022'!$N43*'P10. Cash Flow 2022'!G8</f>
        <v>170</v>
      </c>
      <c r="H85" s="1377">
        <f>'P2. Buxheti Cash flow Viti 2022'!$N43*'P10. Cash Flow 2022'!H8</f>
        <v>170</v>
      </c>
      <c r="I85" s="1377">
        <f>'P2. Buxheti Cash flow Viti 2022'!$N43*'P10. Cash Flow 2022'!I8</f>
        <v>170</v>
      </c>
      <c r="J85" s="1377">
        <f>'P2. Buxheti Cash flow Viti 2022'!$N43*'P10. Cash Flow 2022'!J8</f>
        <v>170</v>
      </c>
      <c r="K85" s="1377">
        <f>'P2. Buxheti Cash flow Viti 2022'!$N43*'P10. Cash Flow 2022'!K8</f>
        <v>85</v>
      </c>
      <c r="L85" s="1377">
        <f>'P2. Buxheti Cash flow Viti 2022'!$N43*'P10. Cash Flow 2022'!L8</f>
        <v>85</v>
      </c>
      <c r="M85" s="1377">
        <f>'P2. Buxheti Cash flow Viti 2022'!$N43*'P10. Cash Flow 2022'!M8</f>
        <v>0</v>
      </c>
      <c r="N85" s="1377">
        <f>'P2. Buxheti Cash flow Viti 2022'!$N43*'P10. Cash Flow 2022'!N8</f>
        <v>0</v>
      </c>
      <c r="O85" s="1240">
        <f t="shared" si="9"/>
        <v>1700</v>
      </c>
      <c r="P85" s="1254"/>
    </row>
    <row r="86" spans="1:16" ht="15" customHeight="1">
      <c r="A86" s="1238">
        <v>231</v>
      </c>
      <c r="B86" s="1239" t="s">
        <v>125</v>
      </c>
      <c r="C86" s="1377">
        <f>'P2. Buxheti Cash flow Viti 2022'!$O43*'P10. Cash Flow 2022'!C8</f>
        <v>0</v>
      </c>
      <c r="D86" s="1377">
        <f>'P2. Buxheti Cash flow Viti 2022'!$O43*'P10. Cash Flow 2022'!D8</f>
        <v>0</v>
      </c>
      <c r="E86" s="1377">
        <f>'P2. Buxheti Cash flow Viti 2022'!$O43*'P10. Cash Flow 2022'!E8</f>
        <v>0</v>
      </c>
      <c r="F86" s="1377">
        <f>'P2. Buxheti Cash flow Viti 2022'!$O43*'P10. Cash Flow 2022'!F8</f>
        <v>0</v>
      </c>
      <c r="G86" s="1377">
        <f>'P2. Buxheti Cash flow Viti 2022'!$O43*'P10. Cash Flow 2022'!G8</f>
        <v>0</v>
      </c>
      <c r="H86" s="1377">
        <f>'P2. Buxheti Cash flow Viti 2022'!$O43*'P10. Cash Flow 2022'!H8</f>
        <v>0</v>
      </c>
      <c r="I86" s="1377">
        <f>'P2. Buxheti Cash flow Viti 2022'!$O43*'P10. Cash Flow 2022'!I8</f>
        <v>0</v>
      </c>
      <c r="J86" s="1377">
        <f>'P2. Buxheti Cash flow Viti 2022'!$O43*'P10. Cash Flow 2022'!J8</f>
        <v>0</v>
      </c>
      <c r="K86" s="1377">
        <f>'P2. Buxheti Cash flow Viti 2022'!$O43*'P10. Cash Flow 2022'!K8</f>
        <v>0</v>
      </c>
      <c r="L86" s="1377">
        <f>'P2. Buxheti Cash flow Viti 2022'!$O43*'P10. Cash Flow 2022'!L8</f>
        <v>0</v>
      </c>
      <c r="M86" s="1377">
        <f>'P2. Buxheti Cash flow Viti 2022'!$O43*'P10. Cash Flow 2022'!M8</f>
        <v>0</v>
      </c>
      <c r="N86" s="1377">
        <f>'P2. Buxheti Cash flow Viti 2022'!$O43*'P10. Cash Flow 2022'!N8</f>
        <v>0</v>
      </c>
      <c r="O86" s="1240">
        <f t="shared" si="9"/>
        <v>0</v>
      </c>
      <c r="P86" s="1254"/>
    </row>
    <row r="87" spans="1:16" ht="15" customHeight="1">
      <c r="A87" s="1238">
        <v>230</v>
      </c>
      <c r="B87" s="1239" t="s">
        <v>127</v>
      </c>
      <c r="C87" s="1378">
        <v>0</v>
      </c>
      <c r="D87" s="1378">
        <v>0</v>
      </c>
      <c r="E87" s="1378">
        <v>0</v>
      </c>
      <c r="F87" s="1378">
        <v>0</v>
      </c>
      <c r="G87" s="1378">
        <v>0</v>
      </c>
      <c r="H87" s="1378">
        <v>0</v>
      </c>
      <c r="I87" s="1378">
        <v>0</v>
      </c>
      <c r="J87" s="1378">
        <v>0</v>
      </c>
      <c r="K87" s="1378">
        <v>0</v>
      </c>
      <c r="L87" s="1378">
        <v>0</v>
      </c>
      <c r="M87" s="1378">
        <v>0</v>
      </c>
      <c r="N87" s="1378">
        <v>0</v>
      </c>
      <c r="O87" s="1240">
        <f t="shared" si="9"/>
        <v>0</v>
      </c>
      <c r="P87" s="1254"/>
    </row>
    <row r="88" spans="1:16" ht="15" customHeight="1">
      <c r="A88" s="1265">
        <v>231</v>
      </c>
      <c r="B88" s="1266" t="s">
        <v>128</v>
      </c>
      <c r="C88" s="1386">
        <v>0</v>
      </c>
      <c r="D88" s="1386">
        <v>0</v>
      </c>
      <c r="E88" s="1386">
        <v>0</v>
      </c>
      <c r="F88" s="1386">
        <v>0</v>
      </c>
      <c r="G88" s="1386">
        <v>0</v>
      </c>
      <c r="H88" s="1386">
        <v>0</v>
      </c>
      <c r="I88" s="1386">
        <v>0</v>
      </c>
      <c r="J88" s="1386">
        <v>0</v>
      </c>
      <c r="K88" s="1386">
        <v>0</v>
      </c>
      <c r="L88" s="1386">
        <v>0</v>
      </c>
      <c r="M88" s="1386">
        <v>0</v>
      </c>
      <c r="N88" s="1386">
        <v>0</v>
      </c>
      <c r="O88" s="1267">
        <f t="shared" si="9"/>
        <v>0</v>
      </c>
      <c r="P88" s="1254"/>
    </row>
    <row r="89" spans="1:16" ht="15" customHeight="1" thickBot="1">
      <c r="A89" s="1243"/>
      <c r="B89" s="1244" t="s">
        <v>981</v>
      </c>
      <c r="C89" s="1278">
        <f t="shared" ref="C89:N89" si="10">SUM(C78:C88)</f>
        <v>4844.38</v>
      </c>
      <c r="D89" s="1278">
        <f t="shared" si="10"/>
        <v>4344.38</v>
      </c>
      <c r="E89" s="1278">
        <f t="shared" si="10"/>
        <v>1694.22</v>
      </c>
      <c r="F89" s="1278">
        <f t="shared" si="10"/>
        <v>1655.124</v>
      </c>
      <c r="G89" s="1278">
        <f t="shared" si="10"/>
        <v>1655.124</v>
      </c>
      <c r="H89" s="1278">
        <f t="shared" si="10"/>
        <v>1655.124</v>
      </c>
      <c r="I89" s="1278">
        <f t="shared" si="10"/>
        <v>1655.124</v>
      </c>
      <c r="J89" s="1278">
        <f t="shared" si="10"/>
        <v>1629.06</v>
      </c>
      <c r="K89" s="1278">
        <f t="shared" si="10"/>
        <v>1335.81</v>
      </c>
      <c r="L89" s="1278">
        <f t="shared" si="10"/>
        <v>1335.81</v>
      </c>
      <c r="M89" s="1278">
        <f t="shared" si="10"/>
        <v>1276.874</v>
      </c>
      <c r="N89" s="1278">
        <f t="shared" si="10"/>
        <v>1315.97</v>
      </c>
      <c r="O89" s="1282">
        <f>SUM(O78:O88)</f>
        <v>24397</v>
      </c>
      <c r="P89" s="1247">
        <f>SUM(P88)</f>
        <v>0</v>
      </c>
    </row>
    <row r="90" spans="1:16" ht="15" customHeight="1">
      <c r="A90" s="1283"/>
      <c r="B90" s="1257" t="s">
        <v>235</v>
      </c>
      <c r="C90" s="1258">
        <f>SUM(C91:C101)</f>
        <v>4844.38</v>
      </c>
      <c r="D90" s="1258">
        <f t="shared" ref="D90:O90" si="11">SUM(D91:D101)</f>
        <v>4344.38</v>
      </c>
      <c r="E90" s="1258">
        <f t="shared" si="11"/>
        <v>1694.22</v>
      </c>
      <c r="F90" s="1258">
        <f t="shared" si="11"/>
        <v>1655.124</v>
      </c>
      <c r="G90" s="1258">
        <f t="shared" si="11"/>
        <v>1655.124</v>
      </c>
      <c r="H90" s="1258">
        <f t="shared" si="11"/>
        <v>1655.124</v>
      </c>
      <c r="I90" s="1258">
        <f t="shared" si="11"/>
        <v>1655.124</v>
      </c>
      <c r="J90" s="1258">
        <f t="shared" si="11"/>
        <v>1629.06</v>
      </c>
      <c r="K90" s="1258">
        <f t="shared" si="11"/>
        <v>1335.81</v>
      </c>
      <c r="L90" s="1258">
        <f t="shared" si="11"/>
        <v>1335.81</v>
      </c>
      <c r="M90" s="1258">
        <f t="shared" si="11"/>
        <v>1276.874</v>
      </c>
      <c r="N90" s="1258">
        <f t="shared" si="11"/>
        <v>1315.97</v>
      </c>
      <c r="O90" s="1258">
        <f t="shared" si="11"/>
        <v>24397</v>
      </c>
      <c r="P90" s="1285"/>
    </row>
    <row r="91" spans="1:16" ht="15" customHeight="1">
      <c r="A91" s="1380">
        <v>600</v>
      </c>
      <c r="B91" s="1376" t="s">
        <v>75</v>
      </c>
      <c r="C91" s="1381">
        <f>C13+C26+C39+C52+C65+C78</f>
        <v>1005.03</v>
      </c>
      <c r="D91" s="1381">
        <f t="shared" ref="D91:N91" si="12">D13+D26+D39+D52+D65+D78</f>
        <v>1005.03</v>
      </c>
      <c r="E91" s="1381">
        <f t="shared" si="12"/>
        <v>949.19500000000005</v>
      </c>
      <c r="F91" s="1381">
        <f t="shared" si="12"/>
        <v>915.69400000000007</v>
      </c>
      <c r="G91" s="1381">
        <f t="shared" si="12"/>
        <v>915.69400000000007</v>
      </c>
      <c r="H91" s="1381">
        <f t="shared" si="12"/>
        <v>915.69400000000007</v>
      </c>
      <c r="I91" s="1381">
        <f t="shared" si="12"/>
        <v>915.69400000000007</v>
      </c>
      <c r="J91" s="1381">
        <f t="shared" si="12"/>
        <v>893.36</v>
      </c>
      <c r="K91" s="1381">
        <f t="shared" si="12"/>
        <v>893.36</v>
      </c>
      <c r="L91" s="1381">
        <f t="shared" si="12"/>
        <v>893.36</v>
      </c>
      <c r="M91" s="1381">
        <f t="shared" si="12"/>
        <v>915.69400000000007</v>
      </c>
      <c r="N91" s="1381">
        <f t="shared" si="12"/>
        <v>949.19500000000005</v>
      </c>
      <c r="O91" s="1393">
        <f>SUM(C91:N91)</f>
        <v>11167</v>
      </c>
      <c r="P91" s="1391"/>
    </row>
    <row r="92" spans="1:16" ht="15" customHeight="1">
      <c r="A92" s="1394">
        <v>601</v>
      </c>
      <c r="B92" s="1286" t="s">
        <v>121</v>
      </c>
      <c r="C92" s="1377">
        <f t="shared" ref="C92:N92" si="13">C14+C27+C40+C53+C66+C79</f>
        <v>167.85</v>
      </c>
      <c r="D92" s="1377">
        <f t="shared" si="13"/>
        <v>167.85</v>
      </c>
      <c r="E92" s="1377">
        <f t="shared" si="13"/>
        <v>158.52500000000001</v>
      </c>
      <c r="F92" s="1377">
        <f t="shared" si="13"/>
        <v>152.93</v>
      </c>
      <c r="G92" s="1377">
        <f t="shared" si="13"/>
        <v>152.93</v>
      </c>
      <c r="H92" s="1377">
        <f t="shared" si="13"/>
        <v>152.93</v>
      </c>
      <c r="I92" s="1377">
        <f t="shared" si="13"/>
        <v>152.93</v>
      </c>
      <c r="J92" s="1377">
        <f t="shared" si="13"/>
        <v>149.20000000000002</v>
      </c>
      <c r="K92" s="1377">
        <f t="shared" si="13"/>
        <v>149.20000000000002</v>
      </c>
      <c r="L92" s="1377">
        <f t="shared" si="13"/>
        <v>149.20000000000002</v>
      </c>
      <c r="M92" s="1377">
        <f t="shared" si="13"/>
        <v>152.93</v>
      </c>
      <c r="N92" s="1377">
        <f t="shared" si="13"/>
        <v>158.52500000000001</v>
      </c>
      <c r="O92" s="1395">
        <f t="shared" ref="O92:O101" si="14">SUM(C92:N92)</f>
        <v>1865.0000000000005</v>
      </c>
      <c r="P92" s="1391"/>
    </row>
    <row r="93" spans="1:16" ht="15" customHeight="1">
      <c r="A93" s="1383">
        <v>602</v>
      </c>
      <c r="B93" s="1287" t="s">
        <v>142</v>
      </c>
      <c r="C93" s="1377">
        <f t="shared" ref="C93:N93" si="15">C15+C28+C41+C54+C67+C80</f>
        <v>416.5</v>
      </c>
      <c r="D93" s="1377">
        <f t="shared" si="15"/>
        <v>416.5</v>
      </c>
      <c r="E93" s="1377">
        <f t="shared" si="15"/>
        <v>416.5</v>
      </c>
      <c r="F93" s="1377">
        <f t="shared" si="15"/>
        <v>416.5</v>
      </c>
      <c r="G93" s="1377">
        <f t="shared" si="15"/>
        <v>416.5</v>
      </c>
      <c r="H93" s="1377">
        <f t="shared" si="15"/>
        <v>416.5</v>
      </c>
      <c r="I93" s="1377">
        <f t="shared" si="15"/>
        <v>416.5</v>
      </c>
      <c r="J93" s="1377">
        <f t="shared" si="15"/>
        <v>416.5</v>
      </c>
      <c r="K93" s="1377">
        <f t="shared" si="15"/>
        <v>208.25</v>
      </c>
      <c r="L93" s="1377">
        <f t="shared" si="15"/>
        <v>208.25</v>
      </c>
      <c r="M93" s="1377">
        <f t="shared" si="15"/>
        <v>208.25</v>
      </c>
      <c r="N93" s="1377">
        <f t="shared" si="15"/>
        <v>208.25</v>
      </c>
      <c r="O93" s="1395">
        <f t="shared" si="14"/>
        <v>4165</v>
      </c>
      <c r="P93" s="1391"/>
    </row>
    <row r="94" spans="1:16" ht="15" customHeight="1">
      <c r="A94" s="1383">
        <v>603</v>
      </c>
      <c r="B94" s="1287" t="s">
        <v>81</v>
      </c>
      <c r="C94" s="1377">
        <f t="shared" ref="C94:N94" si="16">C16+C29+C42+C55+C68+C81</f>
        <v>0</v>
      </c>
      <c r="D94" s="1377">
        <f t="shared" si="16"/>
        <v>0</v>
      </c>
      <c r="E94" s="1377">
        <f t="shared" si="16"/>
        <v>0</v>
      </c>
      <c r="F94" s="1377">
        <f t="shared" si="16"/>
        <v>0</v>
      </c>
      <c r="G94" s="1377">
        <f t="shared" si="16"/>
        <v>0</v>
      </c>
      <c r="H94" s="1377">
        <f t="shared" si="16"/>
        <v>0</v>
      </c>
      <c r="I94" s="1377">
        <f t="shared" si="16"/>
        <v>0</v>
      </c>
      <c r="J94" s="1377">
        <f t="shared" si="16"/>
        <v>0</v>
      </c>
      <c r="K94" s="1377">
        <f t="shared" si="16"/>
        <v>0</v>
      </c>
      <c r="L94" s="1377">
        <f t="shared" si="16"/>
        <v>0</v>
      </c>
      <c r="M94" s="1377">
        <f t="shared" si="16"/>
        <v>0</v>
      </c>
      <c r="N94" s="1377">
        <f t="shared" si="16"/>
        <v>0</v>
      </c>
      <c r="O94" s="1395">
        <f t="shared" si="14"/>
        <v>0</v>
      </c>
      <c r="P94" s="1391"/>
    </row>
    <row r="95" spans="1:16" ht="15" customHeight="1">
      <c r="A95" s="1383">
        <v>604</v>
      </c>
      <c r="B95" s="1287" t="s">
        <v>122</v>
      </c>
      <c r="C95" s="1377">
        <f t="shared" ref="C95:N95" si="17">C17+C30+C43+C56+C69+C82</f>
        <v>0</v>
      </c>
      <c r="D95" s="1377">
        <f t="shared" si="17"/>
        <v>0</v>
      </c>
      <c r="E95" s="1377">
        <f t="shared" si="17"/>
        <v>0</v>
      </c>
      <c r="F95" s="1377">
        <f t="shared" si="17"/>
        <v>0</v>
      </c>
      <c r="G95" s="1377">
        <f t="shared" si="17"/>
        <v>0</v>
      </c>
      <c r="H95" s="1377">
        <f t="shared" si="17"/>
        <v>0</v>
      </c>
      <c r="I95" s="1377">
        <f t="shared" si="17"/>
        <v>0</v>
      </c>
      <c r="J95" s="1377">
        <f t="shared" si="17"/>
        <v>0</v>
      </c>
      <c r="K95" s="1377">
        <f t="shared" si="17"/>
        <v>0</v>
      </c>
      <c r="L95" s="1377">
        <f t="shared" si="17"/>
        <v>0</v>
      </c>
      <c r="M95" s="1377">
        <f t="shared" si="17"/>
        <v>0</v>
      </c>
      <c r="N95" s="1377">
        <f t="shared" si="17"/>
        <v>0</v>
      </c>
      <c r="O95" s="1395">
        <f t="shared" si="14"/>
        <v>0</v>
      </c>
      <c r="P95" s="1391"/>
    </row>
    <row r="96" spans="1:16" ht="15" customHeight="1">
      <c r="A96" s="1383">
        <v>605</v>
      </c>
      <c r="B96" s="1287" t="s">
        <v>123</v>
      </c>
      <c r="C96" s="1377">
        <f t="shared" ref="C96:N96" si="18">C18+C31+C44+C57+C70+C83</f>
        <v>3000</v>
      </c>
      <c r="D96" s="1377">
        <f t="shared" si="18"/>
        <v>2500</v>
      </c>
      <c r="E96" s="1377">
        <f t="shared" si="18"/>
        <v>0</v>
      </c>
      <c r="F96" s="1377">
        <f t="shared" si="18"/>
        <v>0</v>
      </c>
      <c r="G96" s="1377">
        <f t="shared" si="18"/>
        <v>0</v>
      </c>
      <c r="H96" s="1377">
        <f t="shared" si="18"/>
        <v>0</v>
      </c>
      <c r="I96" s="1377">
        <f t="shared" si="18"/>
        <v>0</v>
      </c>
      <c r="J96" s="1377">
        <f t="shared" si="18"/>
        <v>0</v>
      </c>
      <c r="K96" s="1377">
        <f t="shared" si="18"/>
        <v>0</v>
      </c>
      <c r="L96" s="1377">
        <f t="shared" si="18"/>
        <v>0</v>
      </c>
      <c r="M96" s="1377">
        <f t="shared" si="18"/>
        <v>0</v>
      </c>
      <c r="N96" s="1377">
        <f t="shared" si="18"/>
        <v>0</v>
      </c>
      <c r="O96" s="1395">
        <f t="shared" si="14"/>
        <v>5500</v>
      </c>
      <c r="P96" s="1391"/>
    </row>
    <row r="97" spans="1:16" ht="15" customHeight="1">
      <c r="A97" s="1383">
        <v>606</v>
      </c>
      <c r="B97" s="1287" t="s">
        <v>124</v>
      </c>
      <c r="C97" s="1377">
        <f t="shared" ref="C97:N97" si="19">C19+C32+C45+C58+C71+C84</f>
        <v>0</v>
      </c>
      <c r="D97" s="1377">
        <f t="shared" si="19"/>
        <v>0</v>
      </c>
      <c r="E97" s="1377">
        <f t="shared" si="19"/>
        <v>0</v>
      </c>
      <c r="F97" s="1377">
        <f t="shared" si="19"/>
        <v>0</v>
      </c>
      <c r="G97" s="1377">
        <f t="shared" si="19"/>
        <v>0</v>
      </c>
      <c r="H97" s="1377">
        <f t="shared" si="19"/>
        <v>0</v>
      </c>
      <c r="I97" s="1377">
        <f t="shared" si="19"/>
        <v>0</v>
      </c>
      <c r="J97" s="1377">
        <f t="shared" si="19"/>
        <v>0</v>
      </c>
      <c r="K97" s="1377">
        <f t="shared" si="19"/>
        <v>0</v>
      </c>
      <c r="L97" s="1377">
        <f t="shared" si="19"/>
        <v>0</v>
      </c>
      <c r="M97" s="1377">
        <f t="shared" si="19"/>
        <v>0</v>
      </c>
      <c r="N97" s="1377">
        <f t="shared" si="19"/>
        <v>0</v>
      </c>
      <c r="O97" s="1395">
        <f t="shared" si="14"/>
        <v>0</v>
      </c>
      <c r="P97" s="1391"/>
    </row>
    <row r="98" spans="1:16" ht="15" customHeight="1">
      <c r="A98" s="1383">
        <v>230</v>
      </c>
      <c r="B98" s="1287" t="s">
        <v>126</v>
      </c>
      <c r="C98" s="1377">
        <f t="shared" ref="C98:N98" si="20">C20+C33+C46+C59+C72+C85</f>
        <v>255</v>
      </c>
      <c r="D98" s="1377">
        <f t="shared" si="20"/>
        <v>255</v>
      </c>
      <c r="E98" s="1377">
        <f t="shared" si="20"/>
        <v>170</v>
      </c>
      <c r="F98" s="1377">
        <f t="shared" si="20"/>
        <v>170</v>
      </c>
      <c r="G98" s="1377">
        <f t="shared" si="20"/>
        <v>170</v>
      </c>
      <c r="H98" s="1377">
        <f t="shared" si="20"/>
        <v>170</v>
      </c>
      <c r="I98" s="1377">
        <f t="shared" si="20"/>
        <v>170</v>
      </c>
      <c r="J98" s="1377">
        <f t="shared" si="20"/>
        <v>170</v>
      </c>
      <c r="K98" s="1377">
        <f t="shared" si="20"/>
        <v>85</v>
      </c>
      <c r="L98" s="1377">
        <f t="shared" si="20"/>
        <v>85</v>
      </c>
      <c r="M98" s="1377">
        <f t="shared" si="20"/>
        <v>0</v>
      </c>
      <c r="N98" s="1377">
        <f t="shared" si="20"/>
        <v>0</v>
      </c>
      <c r="O98" s="1395">
        <f t="shared" si="14"/>
        <v>1700</v>
      </c>
      <c r="P98" s="1391"/>
    </row>
    <row r="99" spans="1:16" ht="15" customHeight="1">
      <c r="A99" s="1383">
        <v>231</v>
      </c>
      <c r="B99" s="1287" t="s">
        <v>125</v>
      </c>
      <c r="C99" s="1377">
        <f t="shared" ref="C99:N99" si="21">C21+C34+C47+C60+C73+C86</f>
        <v>0</v>
      </c>
      <c r="D99" s="1377">
        <f t="shared" si="21"/>
        <v>0</v>
      </c>
      <c r="E99" s="1377">
        <f t="shared" si="21"/>
        <v>0</v>
      </c>
      <c r="F99" s="1377">
        <f t="shared" si="21"/>
        <v>0</v>
      </c>
      <c r="G99" s="1377">
        <f t="shared" si="21"/>
        <v>0</v>
      </c>
      <c r="H99" s="1377">
        <f t="shared" si="21"/>
        <v>0</v>
      </c>
      <c r="I99" s="1377">
        <f t="shared" si="21"/>
        <v>0</v>
      </c>
      <c r="J99" s="1377">
        <f t="shared" si="21"/>
        <v>0</v>
      </c>
      <c r="K99" s="1377">
        <f t="shared" si="21"/>
        <v>0</v>
      </c>
      <c r="L99" s="1377">
        <f t="shared" si="21"/>
        <v>0</v>
      </c>
      <c r="M99" s="1377">
        <f t="shared" si="21"/>
        <v>0</v>
      </c>
      <c r="N99" s="1377">
        <f t="shared" si="21"/>
        <v>0</v>
      </c>
      <c r="O99" s="1395">
        <f t="shared" si="14"/>
        <v>0</v>
      </c>
      <c r="P99" s="1391"/>
    </row>
    <row r="100" spans="1:16" ht="15" customHeight="1">
      <c r="A100" s="1383">
        <v>230</v>
      </c>
      <c r="B100" s="1287" t="s">
        <v>127</v>
      </c>
      <c r="C100" s="1377">
        <f t="shared" ref="C100:N100" si="22">C22+C35+C48+C61+C74+C87</f>
        <v>0</v>
      </c>
      <c r="D100" s="1377">
        <f t="shared" si="22"/>
        <v>0</v>
      </c>
      <c r="E100" s="1377">
        <f t="shared" si="22"/>
        <v>0</v>
      </c>
      <c r="F100" s="1377">
        <f t="shared" si="22"/>
        <v>0</v>
      </c>
      <c r="G100" s="1377">
        <f t="shared" si="22"/>
        <v>0</v>
      </c>
      <c r="H100" s="1377">
        <f t="shared" si="22"/>
        <v>0</v>
      </c>
      <c r="I100" s="1377">
        <f t="shared" si="22"/>
        <v>0</v>
      </c>
      <c r="J100" s="1377">
        <f t="shared" si="22"/>
        <v>0</v>
      </c>
      <c r="K100" s="1377">
        <f t="shared" si="22"/>
        <v>0</v>
      </c>
      <c r="L100" s="1377">
        <f t="shared" si="22"/>
        <v>0</v>
      </c>
      <c r="M100" s="1377">
        <f t="shared" si="22"/>
        <v>0</v>
      </c>
      <c r="N100" s="1377">
        <f t="shared" si="22"/>
        <v>0</v>
      </c>
      <c r="O100" s="1395">
        <f t="shared" si="14"/>
        <v>0</v>
      </c>
      <c r="P100" s="1391"/>
    </row>
    <row r="101" spans="1:16" ht="15" customHeight="1">
      <c r="A101" s="1385">
        <v>231</v>
      </c>
      <c r="B101" s="1390" t="s">
        <v>128</v>
      </c>
      <c r="C101" s="1377">
        <f t="shared" ref="C101:N101" si="23">C23+C36+C49+C62+C75+C88</f>
        <v>0</v>
      </c>
      <c r="D101" s="1377">
        <f t="shared" si="23"/>
        <v>0</v>
      </c>
      <c r="E101" s="1377">
        <f t="shared" si="23"/>
        <v>0</v>
      </c>
      <c r="F101" s="1377">
        <f t="shared" si="23"/>
        <v>0</v>
      </c>
      <c r="G101" s="1377">
        <f t="shared" si="23"/>
        <v>0</v>
      </c>
      <c r="H101" s="1377">
        <f t="shared" si="23"/>
        <v>0</v>
      </c>
      <c r="I101" s="1377">
        <f t="shared" si="23"/>
        <v>0</v>
      </c>
      <c r="J101" s="1377">
        <f t="shared" si="23"/>
        <v>0</v>
      </c>
      <c r="K101" s="1377">
        <f t="shared" si="23"/>
        <v>0</v>
      </c>
      <c r="L101" s="1377">
        <f t="shared" si="23"/>
        <v>0</v>
      </c>
      <c r="M101" s="1377">
        <f t="shared" si="23"/>
        <v>0</v>
      </c>
      <c r="N101" s="1377">
        <f t="shared" si="23"/>
        <v>0</v>
      </c>
      <c r="O101" s="1396">
        <f t="shared" si="14"/>
        <v>0</v>
      </c>
      <c r="P101" s="1391"/>
    </row>
    <row r="102" spans="1:16" ht="15" customHeight="1" thickBot="1">
      <c r="A102" s="1397"/>
      <c r="B102" s="1284" t="s">
        <v>982</v>
      </c>
      <c r="C102" s="1398">
        <f t="shared" ref="C102:N102" si="24">C24+C37+C50+C63+C76+C89+C90</f>
        <v>9688.76</v>
      </c>
      <c r="D102" s="1398">
        <f t="shared" si="24"/>
        <v>8688.76</v>
      </c>
      <c r="E102" s="1398">
        <f t="shared" si="24"/>
        <v>3388.44</v>
      </c>
      <c r="F102" s="1398">
        <f t="shared" si="24"/>
        <v>3310.248</v>
      </c>
      <c r="G102" s="1398">
        <f t="shared" si="24"/>
        <v>3310.248</v>
      </c>
      <c r="H102" s="1398">
        <f t="shared" si="24"/>
        <v>3310.248</v>
      </c>
      <c r="I102" s="1398">
        <f t="shared" si="24"/>
        <v>3310.248</v>
      </c>
      <c r="J102" s="1398">
        <f t="shared" si="24"/>
        <v>3258.12</v>
      </c>
      <c r="K102" s="1398">
        <f t="shared" si="24"/>
        <v>2671.62</v>
      </c>
      <c r="L102" s="1398">
        <f t="shared" si="24"/>
        <v>2671.62</v>
      </c>
      <c r="M102" s="1398">
        <f t="shared" si="24"/>
        <v>2553.748</v>
      </c>
      <c r="N102" s="1398">
        <f t="shared" si="24"/>
        <v>2631.94</v>
      </c>
      <c r="O102" s="1399">
        <f>SUM(O91:O101)</f>
        <v>24397</v>
      </c>
      <c r="P102" s="1392"/>
    </row>
    <row r="103" spans="1:16" ht="15" customHeight="1">
      <c r="A103" s="1256"/>
      <c r="B103" s="1257"/>
      <c r="C103" s="1288"/>
      <c r="D103" s="1288"/>
      <c r="E103" s="1288"/>
      <c r="F103" s="1288"/>
      <c r="G103" s="1288"/>
      <c r="H103" s="1288"/>
      <c r="I103" s="1288"/>
      <c r="J103" s="1288"/>
      <c r="K103" s="1288"/>
      <c r="L103" s="1288"/>
      <c r="M103" s="1288"/>
      <c r="N103" s="1288"/>
      <c r="O103" s="1288"/>
      <c r="P103" s="1289"/>
    </row>
    <row r="104" spans="1:16" ht="15" customHeight="1">
      <c r="A104" s="1797" t="s">
        <v>146</v>
      </c>
      <c r="B104" s="1290" t="s">
        <v>144</v>
      </c>
      <c r="C104" s="1291" t="s">
        <v>1044</v>
      </c>
      <c r="D104" s="1292"/>
      <c r="E104" s="1293"/>
      <c r="F104" s="1800" t="s">
        <v>240</v>
      </c>
      <c r="G104" s="1290" t="s">
        <v>144</v>
      </c>
      <c r="H104" s="1290" t="s">
        <v>1045</v>
      </c>
      <c r="I104" s="1290"/>
      <c r="O104" s="1176"/>
    </row>
    <row r="105" spans="1:16" ht="15" customHeight="1">
      <c r="A105" s="1798"/>
      <c r="B105" s="1290" t="s">
        <v>239</v>
      </c>
      <c r="C105" s="1291"/>
      <c r="D105" s="1292"/>
      <c r="E105" s="1293"/>
      <c r="F105" s="1800"/>
      <c r="G105" s="1290" t="s">
        <v>239</v>
      </c>
      <c r="H105" s="1290"/>
      <c r="I105" s="1290"/>
      <c r="O105" s="1294"/>
    </row>
    <row r="106" spans="1:16" ht="38.25" customHeight="1">
      <c r="A106" s="1799"/>
      <c r="B106" s="1290" t="s">
        <v>145</v>
      </c>
      <c r="C106" s="1295"/>
      <c r="D106" s="1296"/>
      <c r="E106" s="1293"/>
      <c r="F106" s="1800"/>
      <c r="G106" s="1290" t="s">
        <v>145</v>
      </c>
      <c r="H106" s="1297"/>
      <c r="I106" s="1297"/>
    </row>
  </sheetData>
  <mergeCells count="5">
    <mergeCell ref="A8:B8"/>
    <mergeCell ref="A9:B9"/>
    <mergeCell ref="A10:B10"/>
    <mergeCell ref="A104:A106"/>
    <mergeCell ref="F104:F106"/>
  </mergeCells>
  <printOptions horizontalCentered="1" verticalCentered="1"/>
  <pageMargins left="0" right="0" top="0" bottom="0" header="0" footer="0.23"/>
  <pageSetup paperSize="9" scale="62" orientation="landscape" r:id="rId1"/>
  <headerFooter alignWithMargins="0">
    <oddFooter>&amp;R7.A - &amp;P</oddFooter>
  </headerFooter>
  <rowBreaks count="1" manualBreakCount="1">
    <brk id="63" max="14"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52"/>
  <sheetViews>
    <sheetView workbookViewId="0">
      <pane ySplit="7" topLeftCell="A8" activePane="bottomLeft" state="frozen"/>
      <selection activeCell="F57" sqref="F57"/>
      <selection pane="bottomLeft" activeCell="M48" sqref="M48"/>
    </sheetView>
  </sheetViews>
  <sheetFormatPr defaultColWidth="9.140625" defaultRowHeight="15"/>
  <cols>
    <col min="1" max="1" width="8.5703125" style="1402" customWidth="1"/>
    <col min="2" max="2" width="4.42578125" style="1402" customWidth="1"/>
    <col min="3" max="3" width="7.42578125" style="1402" customWidth="1"/>
    <col min="4" max="4" width="8.140625" style="1400" customWidth="1"/>
    <col min="5" max="5" width="5.42578125" style="1403" customWidth="1"/>
    <col min="6" max="6" width="7.42578125" style="1402" customWidth="1"/>
    <col min="7" max="7" width="7.28515625" style="1402" customWidth="1"/>
    <col min="8" max="8" width="7.140625" style="1402" customWidth="1"/>
    <col min="9" max="9" width="18.42578125" style="1402" customWidth="1"/>
    <col min="10" max="10" width="10.7109375" style="1401" customWidth="1"/>
    <col min="11" max="11" width="8" style="1400" customWidth="1"/>
    <col min="12" max="12" width="6.7109375" style="1400" customWidth="1"/>
    <col min="13" max="13" width="10.7109375" style="1400" customWidth="1"/>
    <col min="14" max="14" width="9.140625" style="1400" customWidth="1"/>
    <col min="15" max="15" width="10" style="1400" customWidth="1"/>
    <col min="16" max="16" width="11.85546875" style="1400" customWidth="1"/>
    <col min="17" max="17" width="8.7109375" style="1400" customWidth="1"/>
    <col min="18" max="16384" width="9.140625" style="1400"/>
  </cols>
  <sheetData>
    <row r="1" spans="1:17">
      <c r="A1" s="1434" t="s">
        <v>1003</v>
      </c>
      <c r="B1" s="1432"/>
      <c r="C1" s="1432"/>
      <c r="D1" s="1428"/>
      <c r="E1" s="1432"/>
      <c r="F1" s="1432"/>
      <c r="G1" s="1431"/>
      <c r="H1" s="1432"/>
      <c r="I1" s="1431"/>
      <c r="J1" s="1430"/>
      <c r="K1" s="1423"/>
      <c r="L1" s="1423"/>
      <c r="M1" s="1429"/>
      <c r="N1" s="1428"/>
      <c r="O1" s="1423"/>
      <c r="P1" s="1420"/>
      <c r="Q1" s="1420"/>
    </row>
    <row r="2" spans="1:17">
      <c r="A2" s="1433" t="s">
        <v>1070</v>
      </c>
      <c r="B2" s="1432"/>
      <c r="C2" s="1432"/>
      <c r="D2" s="1428"/>
      <c r="E2" s="1432"/>
      <c r="F2" s="1432"/>
      <c r="G2" s="1431"/>
      <c r="H2" s="1432"/>
      <c r="I2" s="1431"/>
      <c r="J2" s="1430"/>
      <c r="K2" s="1423"/>
      <c r="L2" s="1423"/>
      <c r="M2" s="1429"/>
      <c r="N2" s="1428"/>
      <c r="O2" s="1423"/>
      <c r="P2" s="1420"/>
      <c r="Q2" s="1420"/>
    </row>
    <row r="3" spans="1:17" ht="7.9" customHeight="1">
      <c r="A3" s="1426"/>
      <c r="B3" s="1425"/>
      <c r="C3" s="1425"/>
      <c r="D3" s="1427"/>
      <c r="E3" s="1426"/>
      <c r="F3" s="1426"/>
      <c r="G3" s="1425"/>
      <c r="H3" s="1426"/>
      <c r="I3" s="1425"/>
      <c r="J3" s="1424"/>
      <c r="K3" s="1423"/>
      <c r="L3" s="1423"/>
      <c r="M3" s="1422"/>
      <c r="N3" s="1421"/>
      <c r="O3" s="1420"/>
      <c r="P3" s="1420"/>
      <c r="Q3" s="1420"/>
    </row>
    <row r="4" spans="1:17" s="1442" customFormat="1" ht="11.25">
      <c r="A4" s="1441">
        <v>1</v>
      </c>
      <c r="B4" s="1441">
        <v>2</v>
      </c>
      <c r="C4" s="1441">
        <v>3</v>
      </c>
      <c r="D4" s="1441">
        <v>4</v>
      </c>
      <c r="E4" s="1441">
        <v>5</v>
      </c>
      <c r="F4" s="1441">
        <v>6</v>
      </c>
      <c r="G4" s="1441">
        <v>7</v>
      </c>
      <c r="H4" s="1441">
        <v>8</v>
      </c>
      <c r="I4" s="1441">
        <v>9</v>
      </c>
      <c r="J4" s="1441">
        <v>10</v>
      </c>
      <c r="K4" s="1818">
        <v>11</v>
      </c>
      <c r="L4" s="1819"/>
      <c r="M4" s="1441">
        <v>12</v>
      </c>
      <c r="N4" s="1441">
        <v>13</v>
      </c>
      <c r="O4" s="1441">
        <v>14</v>
      </c>
      <c r="P4" s="1441">
        <v>15</v>
      </c>
      <c r="Q4" s="1441">
        <v>16</v>
      </c>
    </row>
    <row r="5" spans="1:17" s="1442" customFormat="1" ht="20.25" customHeight="1">
      <c r="A5" s="1843" t="s">
        <v>157</v>
      </c>
      <c r="B5" s="1843" t="s">
        <v>193</v>
      </c>
      <c r="C5" s="1849" t="s">
        <v>83</v>
      </c>
      <c r="D5" s="1843" t="s">
        <v>194</v>
      </c>
      <c r="E5" s="1843" t="s">
        <v>116</v>
      </c>
      <c r="F5" s="1843" t="s">
        <v>195</v>
      </c>
      <c r="G5" s="1843" t="s">
        <v>196</v>
      </c>
      <c r="H5" s="1843" t="s">
        <v>197</v>
      </c>
      <c r="I5" s="1849" t="s">
        <v>198</v>
      </c>
      <c r="J5" s="1843" t="s">
        <v>158</v>
      </c>
      <c r="K5" s="1820" t="str">
        <f>CONCATENATE("Buxheti"," ",VALUE('Te dhena fillesat 2022'!$D$4-1))</f>
        <v>Buxheti 2021</v>
      </c>
      <c r="L5" s="1821"/>
      <c r="M5" s="1852" t="str">
        <f>CONCATENATE("KerkesaProjektbuxheti"," ",VALUE('Te dhena fillesat 2022'!$D$4))</f>
        <v>KerkesaProjektbuxheti 2022</v>
      </c>
      <c r="N5" s="1852" t="str">
        <f>CONCATENATE("Parashikimi për vitin"," ",VALUE('Te dhena fillesat 2022'!$D$4+1))</f>
        <v>Parashikimi për vitin 2023</v>
      </c>
      <c r="O5" s="1852" t="str">
        <f>CONCATENATE("Parashikimi për vitin"," ",VALUE('Te dhena fillesat 2022'!$D$4+2))</f>
        <v>Parashikimi për vitin 2024</v>
      </c>
      <c r="P5" s="1846" t="s">
        <v>199</v>
      </c>
      <c r="Q5" s="1846" t="s">
        <v>699</v>
      </c>
    </row>
    <row r="6" spans="1:17" s="1442" customFormat="1" ht="20.25" customHeight="1">
      <c r="A6" s="1844"/>
      <c r="B6" s="1844"/>
      <c r="C6" s="1850"/>
      <c r="D6" s="1844"/>
      <c r="E6" s="1844"/>
      <c r="F6" s="1844"/>
      <c r="G6" s="1844"/>
      <c r="H6" s="1844"/>
      <c r="I6" s="1850"/>
      <c r="J6" s="1850"/>
      <c r="K6" s="1849" t="s">
        <v>159</v>
      </c>
      <c r="L6" s="1849" t="s">
        <v>160</v>
      </c>
      <c r="M6" s="1853"/>
      <c r="N6" s="1853"/>
      <c r="O6" s="1853"/>
      <c r="P6" s="1847"/>
      <c r="Q6" s="1847"/>
    </row>
    <row r="7" spans="1:17" s="1442" customFormat="1" ht="16.149999999999999" customHeight="1">
      <c r="A7" s="1845"/>
      <c r="B7" s="1845"/>
      <c r="C7" s="1851"/>
      <c r="D7" s="1845"/>
      <c r="E7" s="1845"/>
      <c r="F7" s="1845"/>
      <c r="G7" s="1845"/>
      <c r="H7" s="1845"/>
      <c r="I7" s="1851"/>
      <c r="J7" s="1851"/>
      <c r="K7" s="1851"/>
      <c r="L7" s="1851"/>
      <c r="M7" s="1854"/>
      <c r="N7" s="1854"/>
      <c r="O7" s="1854"/>
      <c r="P7" s="1848"/>
      <c r="Q7" s="1848"/>
    </row>
    <row r="8" spans="1:17" s="1418" customFormat="1" ht="10.15" customHeight="1">
      <c r="A8" s="1435">
        <v>1</v>
      </c>
      <c r="B8" s="1436" t="s">
        <v>1056</v>
      </c>
      <c r="C8" s="1436" t="s">
        <v>1057</v>
      </c>
      <c r="D8" s="1437" t="s">
        <v>1058</v>
      </c>
      <c r="E8" s="1438" t="s">
        <v>1001</v>
      </c>
      <c r="F8" s="1438" t="s">
        <v>1059</v>
      </c>
      <c r="G8" s="1435"/>
      <c r="H8" s="1438" t="s">
        <v>1060</v>
      </c>
      <c r="I8" s="1435" t="s">
        <v>1061</v>
      </c>
      <c r="J8" s="1413">
        <v>1200000</v>
      </c>
      <c r="K8" s="1412"/>
      <c r="L8" s="1412"/>
      <c r="M8" s="1412">
        <v>1200000</v>
      </c>
      <c r="N8" s="1412"/>
      <c r="O8" s="1412"/>
      <c r="P8" s="1412"/>
      <c r="Q8" s="1412"/>
    </row>
    <row r="9" spans="1:17" s="1418" customFormat="1" ht="22.5" customHeight="1">
      <c r="A9" s="1435">
        <v>2</v>
      </c>
      <c r="B9" s="1436" t="s">
        <v>1056</v>
      </c>
      <c r="C9" s="1436" t="s">
        <v>1057</v>
      </c>
      <c r="D9" s="1437" t="s">
        <v>1058</v>
      </c>
      <c r="E9" s="1438" t="s">
        <v>1001</v>
      </c>
      <c r="F9" s="1438" t="s">
        <v>1059</v>
      </c>
      <c r="G9" s="1435"/>
      <c r="H9" s="1438" t="s">
        <v>1060</v>
      </c>
      <c r="I9" s="1435" t="s">
        <v>1062</v>
      </c>
      <c r="J9" s="1413">
        <v>500000</v>
      </c>
      <c r="K9" s="1404"/>
      <c r="L9" s="1409"/>
      <c r="M9" s="1408" t="s">
        <v>1063</v>
      </c>
      <c r="N9" s="1408"/>
      <c r="O9" s="1404"/>
      <c r="P9" s="1404"/>
      <c r="Q9" s="1404"/>
    </row>
    <row r="10" spans="1:17" s="1418" customFormat="1" ht="10.15" customHeight="1">
      <c r="A10" s="1405"/>
      <c r="B10" s="1406"/>
      <c r="C10" s="1407"/>
      <c r="D10" s="1419"/>
      <c r="E10" s="1406"/>
      <c r="F10" s="1406"/>
      <c r="G10" s="1406"/>
      <c r="H10" s="1405"/>
      <c r="I10" s="1406"/>
      <c r="J10" s="1410"/>
      <c r="K10" s="1404"/>
      <c r="L10" s="1409"/>
      <c r="M10" s="1408"/>
      <c r="N10" s="1408"/>
      <c r="O10" s="1404"/>
      <c r="P10" s="1404"/>
      <c r="Q10" s="1404"/>
    </row>
    <row r="11" spans="1:17" s="1418" customFormat="1" ht="10.15" customHeight="1">
      <c r="A11" s="1405"/>
      <c r="B11" s="1406"/>
      <c r="C11" s="1407"/>
      <c r="D11" s="1419"/>
      <c r="E11" s="1406"/>
      <c r="F11" s="1406"/>
      <c r="G11" s="1406"/>
      <c r="H11" s="1405"/>
      <c r="I11" s="1406"/>
      <c r="J11" s="1411"/>
      <c r="K11" s="1404"/>
      <c r="L11" s="1409"/>
      <c r="M11" s="1408"/>
      <c r="N11" s="1408"/>
      <c r="O11" s="1404"/>
      <c r="P11" s="1404"/>
      <c r="Q11" s="1404"/>
    </row>
    <row r="12" spans="1:17" s="1418" customFormat="1" ht="10.15" customHeight="1">
      <c r="A12" s="1405"/>
      <c r="B12" s="1406"/>
      <c r="C12" s="1407"/>
      <c r="D12" s="1419"/>
      <c r="E12" s="1406"/>
      <c r="F12" s="1406"/>
      <c r="G12" s="1406"/>
      <c r="H12" s="1405"/>
      <c r="I12" s="1406"/>
      <c r="J12" s="1411"/>
      <c r="K12" s="1404"/>
      <c r="L12" s="1409"/>
      <c r="M12" s="1408"/>
      <c r="N12" s="1408"/>
      <c r="O12" s="1404"/>
      <c r="P12" s="1404"/>
      <c r="Q12" s="1404"/>
    </row>
    <row r="13" spans="1:17" s="1418" customFormat="1" ht="10.15" customHeight="1">
      <c r="A13" s="1405"/>
      <c r="B13" s="1406"/>
      <c r="C13" s="1415"/>
      <c r="D13" s="1439"/>
      <c r="E13" s="1406"/>
      <c r="F13" s="1406"/>
      <c r="G13" s="1406"/>
      <c r="H13" s="1405"/>
      <c r="I13" s="1406"/>
      <c r="J13" s="1411"/>
      <c r="K13" s="1404"/>
      <c r="L13" s="1409"/>
      <c r="M13" s="1408"/>
      <c r="N13" s="1408"/>
      <c r="O13" s="1404"/>
      <c r="P13" s="1404"/>
      <c r="Q13" s="1404"/>
    </row>
    <row r="14" spans="1:17" s="1418" customFormat="1" ht="10.15" customHeight="1">
      <c r="A14" s="1405"/>
      <c r="B14" s="1406"/>
      <c r="C14" s="1407"/>
      <c r="D14" s="1419"/>
      <c r="E14" s="1406"/>
      <c r="F14" s="1406"/>
      <c r="G14" s="1406"/>
      <c r="H14" s="1405"/>
      <c r="I14" s="1406"/>
      <c r="J14" s="1411"/>
      <c r="K14" s="1404"/>
      <c r="L14" s="1409"/>
      <c r="M14" s="1408"/>
      <c r="N14" s="1408"/>
      <c r="O14" s="1404"/>
      <c r="P14" s="1404"/>
      <c r="Q14" s="1404"/>
    </row>
    <row r="15" spans="1:17" s="1418" customFormat="1" ht="10.15" customHeight="1">
      <c r="A15" s="1405"/>
      <c r="B15" s="1406"/>
      <c r="C15" s="1407"/>
      <c r="D15" s="1419"/>
      <c r="E15" s="1406"/>
      <c r="F15" s="1406"/>
      <c r="G15" s="1406"/>
      <c r="H15" s="1405"/>
      <c r="I15" s="1406"/>
      <c r="J15" s="1411"/>
      <c r="K15" s="1404"/>
      <c r="L15" s="1409"/>
      <c r="M15" s="1408"/>
      <c r="N15" s="1408"/>
      <c r="O15" s="1404"/>
      <c r="P15" s="1404"/>
      <c r="Q15" s="1404"/>
    </row>
    <row r="16" spans="1:17" s="1418" customFormat="1" ht="10.15" customHeight="1">
      <c r="A16" s="1405"/>
      <c r="B16" s="1406"/>
      <c r="C16" s="1407"/>
      <c r="D16" s="1419"/>
      <c r="E16" s="1406"/>
      <c r="F16" s="1406"/>
      <c r="G16" s="1406"/>
      <c r="H16" s="1405"/>
      <c r="I16" s="1406"/>
      <c r="J16" s="1411"/>
      <c r="K16" s="1404"/>
      <c r="L16" s="1409"/>
      <c r="M16" s="1408"/>
      <c r="N16" s="1408"/>
      <c r="O16" s="1404"/>
      <c r="P16" s="1404"/>
      <c r="Q16" s="1404"/>
    </row>
    <row r="17" spans="1:17" s="1418" customFormat="1" ht="10.15" customHeight="1">
      <c r="A17" s="1415"/>
      <c r="B17" s="1415"/>
      <c r="C17" s="1415"/>
      <c r="D17" s="1416"/>
      <c r="E17" s="1406"/>
      <c r="F17" s="1406"/>
      <c r="G17" s="1406"/>
      <c r="H17" s="1405"/>
      <c r="I17" s="1406"/>
      <c r="J17" s="1411"/>
      <c r="K17" s="1404"/>
      <c r="L17" s="1409"/>
      <c r="M17" s="1408"/>
      <c r="N17" s="1408"/>
      <c r="O17" s="1404"/>
      <c r="P17" s="1404"/>
      <c r="Q17" s="1404"/>
    </row>
    <row r="18" spans="1:17" s="1418" customFormat="1" ht="10.15" customHeight="1">
      <c r="A18" s="1415"/>
      <c r="B18" s="1415"/>
      <c r="C18" s="1415"/>
      <c r="D18" s="1439"/>
      <c r="E18" s="1406"/>
      <c r="F18" s="1406"/>
      <c r="G18" s="1406"/>
      <c r="H18" s="1405"/>
      <c r="I18" s="1406"/>
      <c r="J18" s="1411"/>
      <c r="K18" s="1404"/>
      <c r="L18" s="1409"/>
      <c r="M18" s="1408"/>
      <c r="N18" s="1408"/>
      <c r="O18" s="1404"/>
      <c r="P18" s="1404"/>
      <c r="Q18" s="1404"/>
    </row>
    <row r="19" spans="1:17" s="1418" customFormat="1" ht="10.15" customHeight="1">
      <c r="A19" s="1415"/>
      <c r="B19" s="1415"/>
      <c r="C19" s="1415"/>
      <c r="D19" s="1439"/>
      <c r="E19" s="1406"/>
      <c r="F19" s="1406"/>
      <c r="G19" s="1406"/>
      <c r="H19" s="1405"/>
      <c r="I19" s="1406"/>
      <c r="J19" s="1411"/>
      <c r="K19" s="1404"/>
      <c r="L19" s="1409"/>
      <c r="M19" s="1408"/>
      <c r="N19" s="1408"/>
      <c r="O19" s="1404"/>
      <c r="P19" s="1404"/>
      <c r="Q19" s="1404"/>
    </row>
    <row r="20" spans="1:17" s="1418" customFormat="1" ht="10.15" customHeight="1">
      <c r="A20" s="1405"/>
      <c r="B20" s="1406"/>
      <c r="C20" s="1414"/>
      <c r="D20" s="1417"/>
      <c r="E20" s="1406"/>
      <c r="F20" s="1406"/>
      <c r="G20" s="1406"/>
      <c r="H20" s="1405"/>
      <c r="I20" s="1406"/>
      <c r="J20" s="1411"/>
      <c r="K20" s="1404"/>
      <c r="L20" s="1409"/>
      <c r="M20" s="1408"/>
      <c r="N20" s="1408"/>
      <c r="O20" s="1404"/>
      <c r="P20" s="1404"/>
      <c r="Q20" s="1404"/>
    </row>
    <row r="21" spans="1:17" s="1418" customFormat="1" ht="10.15" customHeight="1">
      <c r="A21" s="1405"/>
      <c r="B21" s="1406"/>
      <c r="C21" s="1414"/>
      <c r="D21" s="1417"/>
      <c r="E21" s="1406"/>
      <c r="F21" s="1406"/>
      <c r="G21" s="1406"/>
      <c r="H21" s="1405"/>
      <c r="I21" s="1406"/>
      <c r="J21" s="1411"/>
      <c r="K21" s="1404"/>
      <c r="L21" s="1409"/>
      <c r="M21" s="1408"/>
      <c r="N21" s="1408"/>
      <c r="O21" s="1404"/>
      <c r="P21" s="1404"/>
      <c r="Q21" s="1404"/>
    </row>
    <row r="22" spans="1:17" s="1418" customFormat="1" ht="10.15" customHeight="1">
      <c r="A22" s="1415"/>
      <c r="B22" s="1440"/>
      <c r="C22" s="1415"/>
      <c r="D22" s="1419"/>
      <c r="E22" s="1406"/>
      <c r="F22" s="1406"/>
      <c r="G22" s="1406"/>
      <c r="H22" s="1405"/>
      <c r="I22" s="1406"/>
      <c r="J22" s="1411"/>
      <c r="K22" s="1404"/>
      <c r="L22" s="1409"/>
      <c r="M22" s="1408"/>
      <c r="N22" s="1408"/>
      <c r="O22" s="1404"/>
      <c r="P22" s="1404"/>
      <c r="Q22" s="1404"/>
    </row>
    <row r="23" spans="1:17" s="1418" customFormat="1" ht="10.15" customHeight="1">
      <c r="A23" s="1405"/>
      <c r="B23" s="1406"/>
      <c r="C23" s="1414"/>
      <c r="D23" s="1417"/>
      <c r="E23" s="1406"/>
      <c r="F23" s="1406"/>
      <c r="G23" s="1406"/>
      <c r="H23" s="1405"/>
      <c r="I23" s="1406"/>
      <c r="J23" s="1411"/>
      <c r="K23" s="1404"/>
      <c r="L23" s="1409"/>
      <c r="M23" s="1408"/>
      <c r="N23" s="1408"/>
      <c r="O23" s="1404"/>
      <c r="P23" s="1404"/>
      <c r="Q23" s="1404"/>
    </row>
    <row r="24" spans="1:17" s="1418" customFormat="1" ht="10.15" customHeight="1">
      <c r="A24" s="1405"/>
      <c r="B24" s="1406"/>
      <c r="C24" s="1414"/>
      <c r="D24" s="1417"/>
      <c r="E24" s="1406"/>
      <c r="F24" s="1406"/>
      <c r="G24" s="1406"/>
      <c r="H24" s="1405"/>
      <c r="I24" s="1406"/>
      <c r="J24" s="1411"/>
      <c r="K24" s="1404"/>
      <c r="L24" s="1409"/>
      <c r="M24" s="1408"/>
      <c r="N24" s="1408"/>
      <c r="O24" s="1404"/>
      <c r="P24" s="1404"/>
      <c r="Q24" s="1404"/>
    </row>
    <row r="25" spans="1:17" s="1418" customFormat="1" ht="10.15" customHeight="1">
      <c r="A25" s="1405"/>
      <c r="B25" s="1406"/>
      <c r="C25" s="1414"/>
      <c r="D25" s="1417"/>
      <c r="E25" s="1406"/>
      <c r="F25" s="1406"/>
      <c r="G25" s="1406"/>
      <c r="H25" s="1405"/>
      <c r="I25" s="1406"/>
      <c r="J25" s="1411"/>
      <c r="K25" s="1404"/>
      <c r="L25" s="1409"/>
      <c r="M25" s="1408"/>
      <c r="N25" s="1408"/>
      <c r="O25" s="1404"/>
      <c r="P25" s="1404"/>
      <c r="Q25" s="1404"/>
    </row>
    <row r="26" spans="1:17" s="1418" customFormat="1" ht="10.15" customHeight="1">
      <c r="A26" s="1486"/>
      <c r="B26" s="1487"/>
      <c r="C26" s="1488"/>
      <c r="D26" s="1489"/>
      <c r="E26" s="1487"/>
      <c r="F26" s="1487"/>
      <c r="G26" s="1487"/>
      <c r="H26" s="1490"/>
      <c r="I26" s="1487"/>
      <c r="J26" s="1491"/>
      <c r="K26" s="1492"/>
      <c r="L26" s="1493"/>
      <c r="M26" s="1494"/>
      <c r="N26" s="1494"/>
      <c r="O26" s="1492"/>
      <c r="P26" s="1492"/>
      <c r="Q26" s="1495"/>
    </row>
    <row r="27" spans="1:17" s="1448" customFormat="1" ht="9.6" customHeight="1">
      <c r="A27" s="1444" t="s">
        <v>200</v>
      </c>
      <c r="B27" s="1445"/>
      <c r="C27" s="1445"/>
      <c r="D27" s="1445"/>
      <c r="E27" s="1445"/>
      <c r="F27" s="1445"/>
      <c r="G27" s="1445"/>
      <c r="H27" s="1446"/>
      <c r="I27" s="1445"/>
      <c r="J27" s="1445"/>
      <c r="K27" s="1445"/>
      <c r="L27" s="1445"/>
      <c r="M27" s="1445"/>
      <c r="N27" s="1445"/>
      <c r="O27" s="1445"/>
      <c r="P27" s="1445"/>
      <c r="Q27" s="1447"/>
    </row>
    <row r="28" spans="1:17" s="1448" customFormat="1" ht="11.45" customHeight="1">
      <c r="A28" s="1449" t="s">
        <v>201</v>
      </c>
      <c r="B28" s="1450"/>
      <c r="C28" s="1450"/>
      <c r="D28" s="1450"/>
      <c r="E28" s="1450"/>
      <c r="F28" s="1450"/>
      <c r="G28" s="1450"/>
      <c r="H28" s="1451"/>
      <c r="I28" s="1450"/>
      <c r="J28" s="1450"/>
      <c r="K28" s="1450"/>
      <c r="L28" s="1450"/>
      <c r="M28" s="1450"/>
      <c r="N28" s="1450"/>
      <c r="O28" s="1450"/>
      <c r="P28" s="1450"/>
      <c r="Q28" s="1452"/>
    </row>
    <row r="29" spans="1:17" s="1448" customFormat="1" ht="10.9" customHeight="1">
      <c r="A29" s="1449" t="s">
        <v>202</v>
      </c>
      <c r="B29" s="1450"/>
      <c r="C29" s="1450"/>
      <c r="D29" s="1450"/>
      <c r="E29" s="1450"/>
      <c r="F29" s="1450"/>
      <c r="G29" s="1450"/>
      <c r="H29" s="1451"/>
      <c r="I29" s="1450"/>
      <c r="J29" s="1450"/>
      <c r="K29" s="1450"/>
      <c r="L29" s="1450"/>
      <c r="M29" s="1450"/>
      <c r="N29" s="1450"/>
      <c r="O29" s="1450"/>
      <c r="P29" s="1450"/>
      <c r="Q29" s="1452"/>
    </row>
    <row r="30" spans="1:17" s="1448" customFormat="1" ht="10.9" customHeight="1">
      <c r="A30" s="1449" t="s">
        <v>203</v>
      </c>
      <c r="B30" s="1450"/>
      <c r="C30" s="1450"/>
      <c r="D30" s="1450"/>
      <c r="E30" s="1450"/>
      <c r="F30" s="1450"/>
      <c r="G30" s="1450"/>
      <c r="H30" s="1451"/>
      <c r="I30" s="1450"/>
      <c r="J30" s="1450"/>
      <c r="K30" s="1450"/>
      <c r="L30" s="1450"/>
      <c r="M30" s="1450"/>
      <c r="N30" s="1450"/>
      <c r="O30" s="1450"/>
      <c r="P30" s="1450"/>
      <c r="Q30" s="1452"/>
    </row>
    <row r="31" spans="1:17" s="1448" customFormat="1" ht="10.9" customHeight="1">
      <c r="A31" s="1449" t="str">
        <f>CONCATENATE("Ne Kollonen 11 do te jepen shumat qe jane planifikuar ne Buxhetin e vitit  ", VALUE('Te dhena fillesat 2022'!$D$4-1)," ","dhe realizimi i pritshem ne fund të vitit  ",VALUE('Te dhena fillesat 2022'!$D$4-1))</f>
        <v>Ne Kollonen 11 do te jepen shumat qe jane planifikuar ne Buxhetin e vitit  2021 dhe realizimi i pritshem ne fund të vitit  2021</v>
      </c>
      <c r="B31" s="1450"/>
      <c r="C31" s="1450"/>
      <c r="D31" s="1450"/>
      <c r="E31" s="1450"/>
      <c r="F31" s="1450"/>
      <c r="G31" s="1450"/>
      <c r="H31" s="1451"/>
      <c r="I31" s="1450"/>
      <c r="J31" s="1450"/>
      <c r="K31" s="1450"/>
      <c r="L31" s="1450"/>
      <c r="M31" s="1450"/>
      <c r="N31" s="1450"/>
      <c r="O31" s="1450"/>
      <c r="P31" s="1450"/>
      <c r="Q31" s="1452"/>
    </row>
    <row r="32" spans="1:17" s="1448" customFormat="1" ht="10.15" customHeight="1">
      <c r="A32" s="1449" t="str">
        <f>CONCATENATE("Ne Kollonat 12, 13, 14 do te jepen kerkesat per financim te parashikuara per periudhen ",VALUE('Te dhena fillesat 2022'!$D$4)," - ",VALUE('Te dhena fillesat 2022'!$D$4+2))</f>
        <v>Ne Kollonat 12, 13, 14 do te jepen kerkesat per financim te parashikuara per periudhen 2022 - 2024</v>
      </c>
      <c r="B32" s="1450"/>
      <c r="C32" s="1450"/>
      <c r="D32" s="1450"/>
      <c r="E32" s="1450"/>
      <c r="F32" s="1450"/>
      <c r="G32" s="1450"/>
      <c r="H32" s="1451"/>
      <c r="I32" s="1450"/>
      <c r="J32" s="1450"/>
      <c r="K32" s="1450"/>
      <c r="L32" s="1450"/>
      <c r="M32" s="1450"/>
      <c r="N32" s="1450"/>
      <c r="O32" s="1450"/>
      <c r="P32" s="1450"/>
      <c r="Q32" s="1452"/>
    </row>
    <row r="33" spans="1:17" s="1448" customFormat="1" ht="12" customHeight="1">
      <c r="A33" s="1449" t="s">
        <v>204</v>
      </c>
      <c r="B33" s="1450"/>
      <c r="C33" s="1450"/>
      <c r="D33" s="1450"/>
      <c r="E33" s="1450"/>
      <c r="F33" s="1450"/>
      <c r="G33" s="1450"/>
      <c r="H33" s="1453"/>
      <c r="I33" s="1454"/>
      <c r="J33" s="1450"/>
      <c r="K33" s="1450"/>
      <c r="L33" s="1450"/>
      <c r="M33" s="1450"/>
      <c r="N33" s="1450"/>
      <c r="O33" s="1450"/>
      <c r="P33" s="1450"/>
      <c r="Q33" s="1452"/>
    </row>
    <row r="34" spans="1:17" s="1448" customFormat="1" ht="9.6" customHeight="1">
      <c r="A34" s="1455" t="s">
        <v>947</v>
      </c>
      <c r="B34" s="1456"/>
      <c r="C34" s="1456"/>
      <c r="D34" s="1456"/>
      <c r="E34" s="1456"/>
      <c r="F34" s="1456"/>
      <c r="G34" s="1456"/>
      <c r="H34" s="1457"/>
      <c r="I34" s="1458"/>
      <c r="J34" s="1456"/>
      <c r="K34" s="1456"/>
      <c r="L34" s="1456"/>
      <c r="M34" s="1456"/>
      <c r="N34" s="1456"/>
      <c r="O34" s="1456"/>
      <c r="P34" s="1456"/>
      <c r="Q34" s="1459"/>
    </row>
    <row r="35" spans="1:17">
      <c r="D35" s="1402"/>
      <c r="K35" s="1402"/>
      <c r="L35" s="1402"/>
      <c r="M35" s="1402"/>
      <c r="N35" s="1402"/>
      <c r="O35" s="1402"/>
      <c r="P35" s="1402"/>
      <c r="Q35" s="1402"/>
    </row>
    <row r="36" spans="1:17" s="1448" customFormat="1" ht="12.75">
      <c r="A36" s="1441">
        <v>1</v>
      </c>
      <c r="B36" s="1441">
        <v>2</v>
      </c>
      <c r="C36" s="1441">
        <v>3</v>
      </c>
      <c r="D36" s="1441">
        <v>4</v>
      </c>
      <c r="E36" s="1441">
        <v>5</v>
      </c>
      <c r="F36" s="1441">
        <v>6</v>
      </c>
      <c r="G36" s="1441">
        <v>7</v>
      </c>
      <c r="H36" s="1441">
        <v>8</v>
      </c>
      <c r="I36" s="1441">
        <v>9</v>
      </c>
      <c r="J36" s="1441">
        <v>10</v>
      </c>
      <c r="K36" s="1818">
        <v>11</v>
      </c>
      <c r="L36" s="1819"/>
      <c r="M36" s="1441">
        <v>12</v>
      </c>
      <c r="N36" s="1441">
        <v>13</v>
      </c>
      <c r="O36" s="1441">
        <v>14</v>
      </c>
      <c r="P36" s="1441">
        <v>15</v>
      </c>
      <c r="Q36" s="1441">
        <v>16</v>
      </c>
    </row>
    <row r="37" spans="1:17" s="1448" customFormat="1" ht="12.75">
      <c r="A37" s="1810" t="s">
        <v>157</v>
      </c>
      <c r="B37" s="1462"/>
      <c r="C37" s="1824" t="s">
        <v>83</v>
      </c>
      <c r="D37" s="1827" t="s">
        <v>224</v>
      </c>
      <c r="E37" s="1830" t="s">
        <v>116</v>
      </c>
      <c r="F37" s="1833" t="s">
        <v>195</v>
      </c>
      <c r="G37" s="1836" t="s">
        <v>225</v>
      </c>
      <c r="H37" s="1839" t="s">
        <v>197</v>
      </c>
      <c r="I37" s="1830" t="s">
        <v>226</v>
      </c>
      <c r="J37" s="1842" t="s">
        <v>158</v>
      </c>
      <c r="K37" s="1805" t="str">
        <f>CONCATENATE("Fakt viti  ", VALUE('Te dhena fillesat 2022'!$D$4-1))</f>
        <v>Fakt viti  2021</v>
      </c>
      <c r="L37" s="1806" t="str">
        <f>CONCATENATE("Fakt viti  ", VALUE($M$4-2))</f>
        <v>Fakt viti  10</v>
      </c>
      <c r="M37" s="1807" t="str">
        <f>CONCATENATE("Kërkesa projektbuxhetit per vitin"," ",VALUE('Te dhena fillesat 2022'!$D$4))</f>
        <v>Kërkesa projektbuxhetit per vitin 2022</v>
      </c>
      <c r="N37" s="1807" t="str">
        <f>CONCATENATE("Parashikimi per vitin"," ",VALUE('Te dhena fillesat 2022'!$D$4+1))</f>
        <v>Parashikimi per vitin 2023</v>
      </c>
      <c r="O37" s="1807" t="str">
        <f>CONCATENATE("Parashikimi per vitin"," ",VALUE('Te dhena fillesat 2022'!$D$4+2))</f>
        <v>Parashikimi per vitin 2024</v>
      </c>
      <c r="P37" s="1810" t="s">
        <v>227</v>
      </c>
      <c r="Q37" s="1813" t="s">
        <v>699</v>
      </c>
    </row>
    <row r="38" spans="1:17" s="1448" customFormat="1" ht="36" customHeight="1">
      <c r="A38" s="1822"/>
      <c r="B38" s="1463" t="s">
        <v>228</v>
      </c>
      <c r="C38" s="1825"/>
      <c r="D38" s="1828"/>
      <c r="E38" s="1831"/>
      <c r="F38" s="1834"/>
      <c r="G38" s="1837"/>
      <c r="H38" s="1840"/>
      <c r="I38" s="1831"/>
      <c r="J38" s="1831"/>
      <c r="K38" s="1816" t="s">
        <v>159</v>
      </c>
      <c r="L38" s="1816" t="s">
        <v>160</v>
      </c>
      <c r="M38" s="1808"/>
      <c r="N38" s="1808"/>
      <c r="O38" s="1808"/>
      <c r="P38" s="1811"/>
      <c r="Q38" s="1814"/>
    </row>
    <row r="39" spans="1:17" s="1448" customFormat="1" ht="18" customHeight="1">
      <c r="A39" s="1823"/>
      <c r="B39" s="1464" t="s">
        <v>229</v>
      </c>
      <c r="C39" s="1826"/>
      <c r="D39" s="1829"/>
      <c r="E39" s="1832"/>
      <c r="F39" s="1835"/>
      <c r="G39" s="1838"/>
      <c r="H39" s="1841"/>
      <c r="I39" s="1832"/>
      <c r="J39" s="1832"/>
      <c r="K39" s="1817"/>
      <c r="L39" s="1817"/>
      <c r="M39" s="1809"/>
      <c r="N39" s="1809"/>
      <c r="O39" s="1809"/>
      <c r="P39" s="1812"/>
      <c r="Q39" s="1815"/>
    </row>
    <row r="40" spans="1:17" s="1448" customFormat="1" ht="12.75">
      <c r="A40" s="1443"/>
      <c r="B40" s="1443"/>
      <c r="C40" s="1460"/>
      <c r="D40" s="1460"/>
      <c r="E40" s="1460"/>
      <c r="F40" s="1460"/>
      <c r="G40" s="1460"/>
      <c r="H40" s="1461"/>
      <c r="I40" s="1465" t="s">
        <v>693</v>
      </c>
      <c r="J40" s="1466">
        <f t="shared" ref="J40:O40" si="0">SUMIF($Q$9:$Q$25,$I40,J$8:J$25)</f>
        <v>0</v>
      </c>
      <c r="K40" s="1466">
        <f t="shared" si="0"/>
        <v>0</v>
      </c>
      <c r="L40" s="1466">
        <f t="shared" si="0"/>
        <v>0</v>
      </c>
      <c r="M40" s="1466">
        <f t="shared" si="0"/>
        <v>0</v>
      </c>
      <c r="N40" s="1466">
        <f t="shared" si="0"/>
        <v>0</v>
      </c>
      <c r="O40" s="1466">
        <f t="shared" si="0"/>
        <v>0</v>
      </c>
      <c r="P40" s="1465"/>
      <c r="Q40" s="1467"/>
    </row>
    <row r="41" spans="1:17" s="1448" customFormat="1" ht="12.75">
      <c r="A41" s="1443"/>
      <c r="B41" s="1443"/>
      <c r="C41" s="1460"/>
      <c r="D41" s="1460"/>
      <c r="E41" s="1460"/>
      <c r="F41" s="1460"/>
      <c r="G41" s="1460"/>
      <c r="H41" s="1461"/>
      <c r="I41" s="1465" t="s">
        <v>698</v>
      </c>
      <c r="J41" s="1466">
        <f t="shared" ref="J41:O48" si="1">SUMIF($Q$9:$Q$25,$I41,J$9:J$25)</f>
        <v>0</v>
      </c>
      <c r="K41" s="1466">
        <f t="shared" si="1"/>
        <v>0</v>
      </c>
      <c r="L41" s="1466">
        <f t="shared" si="1"/>
        <v>0</v>
      </c>
      <c r="M41" s="1466">
        <f t="shared" si="1"/>
        <v>0</v>
      </c>
      <c r="N41" s="1466">
        <f t="shared" si="1"/>
        <v>0</v>
      </c>
      <c r="O41" s="1466">
        <f t="shared" si="1"/>
        <v>0</v>
      </c>
      <c r="P41" s="1465"/>
      <c r="Q41" s="1467"/>
    </row>
    <row r="42" spans="1:17" s="1448" customFormat="1" ht="12.75">
      <c r="A42" s="1443"/>
      <c r="B42" s="1443"/>
      <c r="C42" s="1460"/>
      <c r="D42" s="1460"/>
      <c r="E42" s="1460"/>
      <c r="F42" s="1460"/>
      <c r="G42" s="1460"/>
      <c r="H42" s="1461"/>
      <c r="I42" s="1465" t="s">
        <v>964</v>
      </c>
      <c r="J42" s="1466">
        <f t="shared" si="1"/>
        <v>0</v>
      </c>
      <c r="K42" s="1466">
        <f t="shared" si="1"/>
        <v>0</v>
      </c>
      <c r="L42" s="1466">
        <f t="shared" si="1"/>
        <v>0</v>
      </c>
      <c r="M42" s="1466">
        <f t="shared" si="1"/>
        <v>0</v>
      </c>
      <c r="N42" s="1466">
        <f t="shared" si="1"/>
        <v>0</v>
      </c>
      <c r="O42" s="1466">
        <f t="shared" si="1"/>
        <v>0</v>
      </c>
      <c r="P42" s="1465"/>
      <c r="Q42" s="1467"/>
    </row>
    <row r="43" spans="1:17" s="1448" customFormat="1" ht="12.75">
      <c r="A43" s="1443"/>
      <c r="B43" s="1443"/>
      <c r="C43" s="1460"/>
      <c r="D43" s="1460"/>
      <c r="E43" s="1460"/>
      <c r="F43" s="1460"/>
      <c r="G43" s="1460"/>
      <c r="H43" s="1461"/>
      <c r="I43" s="1465" t="s">
        <v>697</v>
      </c>
      <c r="J43" s="1466">
        <f t="shared" si="1"/>
        <v>0</v>
      </c>
      <c r="K43" s="1466">
        <f t="shared" si="1"/>
        <v>0</v>
      </c>
      <c r="L43" s="1466">
        <f t="shared" si="1"/>
        <v>0</v>
      </c>
      <c r="M43" s="1466">
        <f t="shared" si="1"/>
        <v>0</v>
      </c>
      <c r="N43" s="1466">
        <f t="shared" si="1"/>
        <v>0</v>
      </c>
      <c r="O43" s="1466">
        <f t="shared" si="1"/>
        <v>0</v>
      </c>
      <c r="P43" s="1465"/>
      <c r="Q43" s="1467"/>
    </row>
    <row r="44" spans="1:17" s="1448" customFormat="1" ht="12.75">
      <c r="A44" s="1443"/>
      <c r="B44" s="1443"/>
      <c r="C44" s="1460"/>
      <c r="D44" s="1460"/>
      <c r="E44" s="1460"/>
      <c r="F44" s="1460"/>
      <c r="G44" s="1460"/>
      <c r="H44" s="1461"/>
      <c r="I44" s="1465" t="s">
        <v>694</v>
      </c>
      <c r="J44" s="1466">
        <f t="shared" si="1"/>
        <v>0</v>
      </c>
      <c r="K44" s="1466">
        <f t="shared" si="1"/>
        <v>0</v>
      </c>
      <c r="L44" s="1466">
        <f t="shared" si="1"/>
        <v>0</v>
      </c>
      <c r="M44" s="1466">
        <f t="shared" si="1"/>
        <v>0</v>
      </c>
      <c r="N44" s="1466">
        <f t="shared" si="1"/>
        <v>0</v>
      </c>
      <c r="O44" s="1466">
        <f t="shared" si="1"/>
        <v>0</v>
      </c>
      <c r="P44" s="1465"/>
      <c r="Q44" s="1467"/>
    </row>
    <row r="45" spans="1:17" s="1448" customFormat="1" ht="12.75">
      <c r="A45" s="1443"/>
      <c r="B45" s="1443"/>
      <c r="C45" s="1460"/>
      <c r="D45" s="1460"/>
      <c r="E45" s="1460"/>
      <c r="F45" s="1460"/>
      <c r="G45" s="1460"/>
      <c r="H45" s="1461"/>
      <c r="I45" s="1465" t="s">
        <v>230</v>
      </c>
      <c r="J45" s="1466">
        <f t="shared" si="1"/>
        <v>0</v>
      </c>
      <c r="K45" s="1466">
        <f t="shared" si="1"/>
        <v>0</v>
      </c>
      <c r="L45" s="1466">
        <f t="shared" si="1"/>
        <v>0</v>
      </c>
      <c r="M45" s="1466">
        <f t="shared" si="1"/>
        <v>0</v>
      </c>
      <c r="N45" s="1466">
        <f t="shared" si="1"/>
        <v>0</v>
      </c>
      <c r="O45" s="1466">
        <f t="shared" si="1"/>
        <v>0</v>
      </c>
      <c r="P45" s="1465"/>
      <c r="Q45" s="1467"/>
    </row>
    <row r="46" spans="1:17" s="1448" customFormat="1" ht="12.75">
      <c r="A46" s="1443"/>
      <c r="B46" s="1443"/>
      <c r="C46" s="1460"/>
      <c r="D46" s="1460"/>
      <c r="E46" s="1460"/>
      <c r="F46" s="1460"/>
      <c r="G46" s="1460"/>
      <c r="H46" s="1461"/>
      <c r="I46" s="1465" t="s">
        <v>696</v>
      </c>
      <c r="J46" s="1466">
        <f t="shared" si="1"/>
        <v>0</v>
      </c>
      <c r="K46" s="1466">
        <f t="shared" si="1"/>
        <v>0</v>
      </c>
      <c r="L46" s="1466">
        <f t="shared" si="1"/>
        <v>0</v>
      </c>
      <c r="M46" s="1466">
        <f t="shared" si="1"/>
        <v>0</v>
      </c>
      <c r="N46" s="1466">
        <f t="shared" si="1"/>
        <v>0</v>
      </c>
      <c r="O46" s="1466">
        <f t="shared" si="1"/>
        <v>0</v>
      </c>
      <c r="P46" s="1465"/>
      <c r="Q46" s="1467"/>
    </row>
    <row r="47" spans="1:17" s="1448" customFormat="1" ht="12.75">
      <c r="A47" s="1443"/>
      <c r="B47" s="1443"/>
      <c r="C47" s="1460"/>
      <c r="D47" s="1460"/>
      <c r="E47" s="1460"/>
      <c r="F47" s="1460"/>
      <c r="G47" s="1460"/>
      <c r="H47" s="1461"/>
      <c r="I47" s="1465" t="s">
        <v>695</v>
      </c>
      <c r="J47" s="1466">
        <f t="shared" si="1"/>
        <v>0</v>
      </c>
      <c r="K47" s="1466">
        <f t="shared" si="1"/>
        <v>0</v>
      </c>
      <c r="L47" s="1466">
        <f t="shared" si="1"/>
        <v>0</v>
      </c>
      <c r="M47" s="1466">
        <v>1700000</v>
      </c>
      <c r="N47" s="1466">
        <f t="shared" si="1"/>
        <v>0</v>
      </c>
      <c r="O47" s="1466">
        <f t="shared" si="1"/>
        <v>0</v>
      </c>
      <c r="P47" s="1465"/>
      <c r="Q47" s="1467"/>
    </row>
    <row r="48" spans="1:17" s="1448" customFormat="1" ht="12.75">
      <c r="A48" s="1443"/>
      <c r="B48" s="1443"/>
      <c r="C48" s="1460"/>
      <c r="D48" s="1460"/>
      <c r="E48" s="1460"/>
      <c r="F48" s="1460"/>
      <c r="G48" s="1460"/>
      <c r="H48" s="1461"/>
      <c r="I48" s="1465" t="s">
        <v>231</v>
      </c>
      <c r="J48" s="1466">
        <f t="shared" si="1"/>
        <v>0</v>
      </c>
      <c r="K48" s="1466">
        <f t="shared" si="1"/>
        <v>0</v>
      </c>
      <c r="L48" s="1466">
        <f t="shared" si="1"/>
        <v>0</v>
      </c>
      <c r="M48" s="1466">
        <f t="shared" si="1"/>
        <v>0</v>
      </c>
      <c r="N48" s="1466">
        <f t="shared" si="1"/>
        <v>0</v>
      </c>
      <c r="O48" s="1466">
        <f t="shared" si="1"/>
        <v>0</v>
      </c>
      <c r="P48" s="1465"/>
      <c r="Q48" s="1467"/>
    </row>
    <row r="50" spans="3:15">
      <c r="C50" s="1801" t="s">
        <v>146</v>
      </c>
      <c r="D50" s="1468" t="s">
        <v>144</v>
      </c>
      <c r="E50" s="1469" t="s">
        <v>1044</v>
      </c>
      <c r="F50" s="1470"/>
      <c r="G50" s="1470"/>
      <c r="H50" s="1804" t="s">
        <v>240</v>
      </c>
      <c r="I50" s="1468" t="s">
        <v>144</v>
      </c>
      <c r="J50" s="1468" t="s">
        <v>1045</v>
      </c>
      <c r="K50" s="1468"/>
      <c r="L50" s="1471"/>
      <c r="M50" s="1471"/>
      <c r="N50" s="1471"/>
      <c r="O50" s="1471"/>
    </row>
    <row r="51" spans="3:15">
      <c r="C51" s="1802"/>
      <c r="D51" s="1468" t="s">
        <v>239</v>
      </c>
      <c r="E51" s="1469"/>
      <c r="F51" s="1470"/>
      <c r="G51" s="1470"/>
      <c r="H51" s="1804"/>
      <c r="I51" s="1468" t="s">
        <v>239</v>
      </c>
      <c r="J51" s="1468"/>
      <c r="K51" s="1468"/>
      <c r="L51" s="1471"/>
      <c r="M51" s="1471"/>
      <c r="N51" s="1471"/>
      <c r="O51" s="1471"/>
    </row>
    <row r="52" spans="3:15">
      <c r="C52" s="1803"/>
      <c r="D52" s="1468" t="s">
        <v>145</v>
      </c>
      <c r="E52" s="1472"/>
      <c r="F52" s="1473"/>
      <c r="G52" s="1473"/>
      <c r="H52" s="1804"/>
      <c r="I52" s="1468" t="s">
        <v>145</v>
      </c>
      <c r="J52" s="1474"/>
      <c r="K52" s="1474"/>
      <c r="L52" s="1471"/>
      <c r="M52" s="1471"/>
      <c r="N52" s="1471"/>
      <c r="O52" s="1471"/>
    </row>
  </sheetData>
  <autoFilter ref="A7:Q25"/>
  <mergeCells count="39">
    <mergeCell ref="B5:B7"/>
    <mergeCell ref="C5:C7"/>
    <mergeCell ref="D5:D7"/>
    <mergeCell ref="E5:E7"/>
    <mergeCell ref="P5:P7"/>
    <mergeCell ref="Q5:Q7"/>
    <mergeCell ref="I5:I7"/>
    <mergeCell ref="J5:J7"/>
    <mergeCell ref="O5:O7"/>
    <mergeCell ref="K6:K7"/>
    <mergeCell ref="L6:L7"/>
    <mergeCell ref="N5:N7"/>
    <mergeCell ref="M5:M7"/>
    <mergeCell ref="K4:L4"/>
    <mergeCell ref="K5:L5"/>
    <mergeCell ref="K36:L36"/>
    <mergeCell ref="A37:A39"/>
    <mergeCell ref="C37:C39"/>
    <mergeCell ref="D37:D39"/>
    <mergeCell ref="E37:E39"/>
    <mergeCell ref="F37:F39"/>
    <mergeCell ref="G37:G39"/>
    <mergeCell ref="H37:H39"/>
    <mergeCell ref="I37:I39"/>
    <mergeCell ref="J37:J39"/>
    <mergeCell ref="F5:F7"/>
    <mergeCell ref="G5:G7"/>
    <mergeCell ref="H5:H7"/>
    <mergeCell ref="A5:A7"/>
    <mergeCell ref="O37:O39"/>
    <mergeCell ref="P37:P39"/>
    <mergeCell ref="Q37:Q39"/>
    <mergeCell ref="K38:K39"/>
    <mergeCell ref="L38:L39"/>
    <mergeCell ref="C50:C52"/>
    <mergeCell ref="H50:H52"/>
    <mergeCell ref="K37:L37"/>
    <mergeCell ref="M37:M39"/>
    <mergeCell ref="N37:N39"/>
  </mergeCells>
  <printOptions horizontalCentered="1"/>
  <pageMargins left="0.23622047244094491" right="0.23622047244094491" top="0.23622047244094491" bottom="0.23622047244094491" header="0" footer="0"/>
  <pageSetup scale="90" orientation="landscape" r:id="rId1"/>
  <headerFooter>
    <oddFooter>&amp;L&amp;"-,Italic"&amp;6&amp;Z&amp;F&amp;R&amp;"-,Italic"&amp;8Faqe &amp;P nga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W37"/>
  <sheetViews>
    <sheetView topLeftCell="G1" workbookViewId="0">
      <selection activeCell="Y40" sqref="Y40"/>
    </sheetView>
  </sheetViews>
  <sheetFormatPr defaultColWidth="9.140625" defaultRowHeight="12.75"/>
  <cols>
    <col min="1" max="1" width="5.42578125" style="201" customWidth="1"/>
    <col min="2" max="2" width="7.28515625" style="201" customWidth="1"/>
    <col min="3" max="3" width="8.28515625" style="201" customWidth="1"/>
    <col min="4" max="4" width="9.85546875" style="201" bestFit="1" customWidth="1"/>
    <col min="5" max="5" width="8.140625" style="201" customWidth="1"/>
    <col min="6" max="6" width="9.85546875" style="201" customWidth="1"/>
    <col min="7" max="7" width="7.7109375" style="201" customWidth="1"/>
    <col min="8" max="8" width="6.7109375" style="201" customWidth="1"/>
    <col min="9" max="9" width="8.28515625" style="201" customWidth="1"/>
    <col min="10" max="10" width="6.5703125" style="201" bestFit="1" customWidth="1"/>
    <col min="11" max="11" width="8" style="201" bestFit="1" customWidth="1"/>
    <col min="12" max="12" width="8" style="201" customWidth="1"/>
    <col min="13" max="14" width="7.140625" style="201" customWidth="1"/>
    <col min="15" max="15" width="8.85546875" style="201" bestFit="1" customWidth="1"/>
    <col min="16" max="20" width="9.140625" style="201"/>
    <col min="21" max="21" width="8.140625" style="201" bestFit="1" customWidth="1"/>
    <col min="22" max="22" width="8.140625" style="201" customWidth="1"/>
    <col min="23" max="23" width="10.140625" style="201" customWidth="1"/>
    <col min="24" max="16384" width="9.140625" style="201"/>
  </cols>
  <sheetData>
    <row r="1" spans="1:23" ht="13.5">
      <c r="K1" s="200" t="s">
        <v>74</v>
      </c>
      <c r="L1" s="827" t="s">
        <v>209</v>
      </c>
      <c r="M1" s="828"/>
      <c r="N1" s="828"/>
      <c r="O1" s="157"/>
      <c r="P1" s="55"/>
      <c r="Q1" s="829"/>
    </row>
    <row r="2" spans="1:23" ht="14.25" thickBot="1">
      <c r="A2" s="228" t="s">
        <v>236</v>
      </c>
      <c r="K2" s="720" t="str">
        <f>CONCATENATE('Te dhena fillesat 2022'!$C$7)</f>
        <v>1011205</v>
      </c>
      <c r="L2" s="938" t="str">
        <f>CONCATENATE('Te dhena fillesat 2022'!$D$7)</f>
        <v>Agjensia e Sherbimeve të Sportit</v>
      </c>
      <c r="M2" s="824"/>
      <c r="N2" s="199"/>
      <c r="O2" s="199"/>
      <c r="P2" s="198"/>
      <c r="T2" s="157"/>
      <c r="U2" s="825" t="str">
        <f>CONCATENATE("PBA"," ",VALUE('Te dhena fillesat 2022'!$D$4)," ","-"," ",VALUE('Te dhena fillesat 2022'!$D$4+2))</f>
        <v>PBA 2022 - 2024</v>
      </c>
      <c r="V2" s="826"/>
    </row>
    <row r="3" spans="1:23">
      <c r="A3" s="1855"/>
      <c r="B3" s="1856"/>
      <c r="C3" s="1856"/>
      <c r="D3" s="1856"/>
      <c r="E3" s="1856"/>
      <c r="F3" s="1856"/>
      <c r="G3" s="1856"/>
      <c r="H3" s="1856"/>
      <c r="I3" s="1856"/>
      <c r="J3" s="1856"/>
      <c r="K3" s="1856"/>
      <c r="L3" s="1856"/>
      <c r="M3" s="1856"/>
      <c r="N3" s="1856"/>
      <c r="O3" s="1856"/>
      <c r="P3" s="1856"/>
      <c r="Q3" s="202"/>
      <c r="R3" s="202"/>
      <c r="S3" s="202"/>
      <c r="T3" s="202"/>
      <c r="U3" s="202"/>
      <c r="V3" s="202"/>
      <c r="W3" s="203"/>
    </row>
    <row r="4" spans="1:23" ht="16.5" thickBot="1">
      <c r="A4" s="1857" t="s">
        <v>215</v>
      </c>
      <c r="B4" s="1858"/>
      <c r="C4" s="1858"/>
      <c r="D4" s="1858"/>
      <c r="E4" s="1858"/>
      <c r="F4" s="1858"/>
      <c r="G4" s="1858"/>
      <c r="H4" s="1858"/>
      <c r="I4" s="1858"/>
      <c r="J4" s="1858"/>
      <c r="K4" s="1858"/>
      <c r="L4" s="1858"/>
      <c r="M4" s="1858"/>
      <c r="N4" s="1858"/>
      <c r="O4" s="1858"/>
      <c r="P4" s="1858"/>
      <c r="Q4" s="1858"/>
      <c r="R4" s="1858"/>
      <c r="S4" s="1858"/>
      <c r="T4" s="1858"/>
      <c r="U4" s="1858"/>
      <c r="V4" s="204"/>
      <c r="W4" s="205"/>
    </row>
    <row r="5" spans="1:23" ht="56.25">
      <c r="A5" s="206" t="s">
        <v>205</v>
      </c>
      <c r="B5" s="207" t="s">
        <v>194</v>
      </c>
      <c r="C5" s="208" t="s">
        <v>116</v>
      </c>
      <c r="D5" s="208" t="s">
        <v>206</v>
      </c>
      <c r="E5" s="208" t="s">
        <v>207</v>
      </c>
      <c r="F5" s="208" t="s">
        <v>161</v>
      </c>
      <c r="G5" s="208" t="s">
        <v>162</v>
      </c>
      <c r="H5" s="208" t="s">
        <v>163</v>
      </c>
      <c r="I5" s="208" t="s">
        <v>164</v>
      </c>
      <c r="J5" s="208" t="s">
        <v>165</v>
      </c>
      <c r="K5" s="208" t="s">
        <v>166</v>
      </c>
      <c r="L5" s="208" t="s">
        <v>167</v>
      </c>
      <c r="M5" s="830" t="str">
        <f>CONCATENATE("Financimi deri ne fund te"," ",VALUE('Te dhena fillesat 2022'!$D$4-2))</f>
        <v>Financimi deri ne fund te 2020</v>
      </c>
      <c r="N5" s="830" t="str">
        <f>CONCATENATE("Kosto lokale + TVSHderi"," ",VALUE('Te dhena fillesat 2022'!$D$4-2))</f>
        <v>Kosto lokale + TVSHderi 2020</v>
      </c>
      <c r="O5" s="830" t="str">
        <f>CONCATENATE("Shpenz. e Pritshm. per v."," ",VALUE('Te dhena fillesat 2022'!$D$4-1))</f>
        <v>Shpenz. e Pritshm. per v. 2021</v>
      </c>
      <c r="P5" s="830" t="str">
        <f>CONCATENATE("Kosto lokale + TVSH"," ",VALUE('Te dhena fillesat 2022'!$D$4-1))</f>
        <v>Kosto lokale + TVSH 2021</v>
      </c>
      <c r="Q5" s="830" t="str">
        <f>CONCATENATE("Kerkesa per vitin"," ",VALUE('Te dhena fillesat 2022'!$D$4))</f>
        <v>Kerkesa per vitin 2022</v>
      </c>
      <c r="R5" s="830" t="str">
        <f>CONCATENATE("Kosto lokale + TVSH"," ",VALUE('Te dhena fillesat 2022'!$D$4))</f>
        <v>Kosto lokale + TVSH 2022</v>
      </c>
      <c r="S5" s="830" t="str">
        <f>CONCATENATE("Kerkesa per vitin"," ",VALUE('Te dhena fillesat 2022'!$D$4+1))</f>
        <v>Kerkesa per vitin 2023</v>
      </c>
      <c r="T5" s="830" t="str">
        <f>CONCATENATE("Kosto lokale + TVSH"," ",VALUE('Te dhena fillesat 2022'!$D$4+1))</f>
        <v>Kosto lokale + TVSH 2023</v>
      </c>
      <c r="U5" s="830" t="str">
        <f>CONCATENATE("Kerkesa per vitin"," ",VALUE('Te dhena fillesat 2022'!$D$4+2))</f>
        <v>Kerkesa per vitin 2024</v>
      </c>
      <c r="V5" s="830" t="str">
        <f>CONCATENATE("Kosto lokale + TVSH"," ",VALUE('Te dhena fillesat 2022'!$D$4+2))</f>
        <v>Kosto lokale + TVSH 2024</v>
      </c>
      <c r="W5" s="831" t="str">
        <f>CONCATENATE("Per tu financuar pas vitit"," ",VALUE('Te dhena fillesat 2022'!$D$4+2))</f>
        <v>Per tu financuar pas vitit 2024</v>
      </c>
    </row>
    <row r="6" spans="1:23" ht="22.5">
      <c r="A6" s="206"/>
      <c r="B6" s="210"/>
      <c r="C6" s="208"/>
      <c r="D6" s="208"/>
      <c r="E6" s="208"/>
      <c r="F6" s="208"/>
      <c r="G6" s="208"/>
      <c r="H6" s="208"/>
      <c r="I6" s="208"/>
      <c r="J6" s="208"/>
      <c r="K6" s="208"/>
      <c r="L6" s="211" t="s">
        <v>103</v>
      </c>
      <c r="M6" s="211" t="s">
        <v>103</v>
      </c>
      <c r="N6" s="211" t="s">
        <v>103</v>
      </c>
      <c r="O6" s="211" t="s">
        <v>103</v>
      </c>
      <c r="P6" s="211" t="s">
        <v>103</v>
      </c>
      <c r="Q6" s="211" t="s">
        <v>103</v>
      </c>
      <c r="R6" s="211" t="s">
        <v>103</v>
      </c>
      <c r="S6" s="211" t="s">
        <v>103</v>
      </c>
      <c r="T6" s="211" t="s">
        <v>103</v>
      </c>
      <c r="U6" s="211" t="s">
        <v>103</v>
      </c>
      <c r="V6" s="211" t="s">
        <v>103</v>
      </c>
      <c r="W6" s="212" t="s">
        <v>103</v>
      </c>
    </row>
    <row r="7" spans="1:23" ht="23.25" customHeight="1">
      <c r="A7" s="213">
        <v>1</v>
      </c>
      <c r="B7" s="214">
        <v>2</v>
      </c>
      <c r="C7" s="215">
        <v>3</v>
      </c>
      <c r="D7" s="227">
        <v>4</v>
      </c>
      <c r="E7" s="214">
        <v>5</v>
      </c>
      <c r="F7" s="215">
        <v>6</v>
      </c>
      <c r="G7" s="214">
        <v>7</v>
      </c>
      <c r="H7" s="215">
        <v>8</v>
      </c>
      <c r="I7" s="214">
        <v>9</v>
      </c>
      <c r="J7" s="215">
        <v>10</v>
      </c>
      <c r="K7" s="214">
        <v>11</v>
      </c>
      <c r="L7" s="215">
        <v>12</v>
      </c>
      <c r="M7" s="208" t="s">
        <v>168</v>
      </c>
      <c r="N7" s="208" t="s">
        <v>169</v>
      </c>
      <c r="O7" s="208" t="s">
        <v>170</v>
      </c>
      <c r="P7" s="208" t="s">
        <v>171</v>
      </c>
      <c r="Q7" s="209" t="s">
        <v>172</v>
      </c>
      <c r="R7" s="209" t="s">
        <v>173</v>
      </c>
      <c r="S7" s="209" t="s">
        <v>174</v>
      </c>
      <c r="T7" s="209" t="s">
        <v>175</v>
      </c>
      <c r="U7" s="209" t="s">
        <v>176</v>
      </c>
      <c r="V7" s="216" t="s">
        <v>177</v>
      </c>
      <c r="W7" s="217" t="s">
        <v>178</v>
      </c>
    </row>
    <row r="8" spans="1:23">
      <c r="A8" s="1085"/>
      <c r="B8" s="1086"/>
      <c r="C8" s="1087"/>
      <c r="D8" s="1088"/>
      <c r="E8" s="1088"/>
      <c r="F8" s="1089"/>
      <c r="G8" s="1084"/>
      <c r="H8" s="1089"/>
      <c r="I8" s="1090"/>
      <c r="J8" s="1084"/>
      <c r="K8" s="1084"/>
      <c r="L8" s="1084"/>
      <c r="M8" s="1091"/>
      <c r="N8" s="1091"/>
      <c r="O8" s="1084"/>
      <c r="P8" s="1084"/>
      <c r="Q8" s="1091"/>
      <c r="R8" s="1091"/>
      <c r="S8" s="1091"/>
      <c r="T8" s="984"/>
      <c r="U8" s="218"/>
      <c r="V8" s="220"/>
      <c r="W8" s="221"/>
    </row>
    <row r="9" spans="1:23">
      <c r="A9" s="1085"/>
      <c r="B9" s="1086"/>
      <c r="C9" s="1087"/>
      <c r="D9" s="1088"/>
      <c r="E9" s="1092"/>
      <c r="F9" s="1093"/>
      <c r="G9" s="1091"/>
      <c r="H9" s="1091"/>
      <c r="I9" s="1091"/>
      <c r="J9" s="1084"/>
      <c r="K9" s="1084"/>
      <c r="L9" s="1091"/>
      <c r="M9" s="1091"/>
      <c r="N9" s="1091"/>
      <c r="O9" s="1091"/>
      <c r="P9" s="1091"/>
      <c r="Q9" s="1091"/>
      <c r="R9" s="1091"/>
      <c r="S9" s="984"/>
      <c r="T9" s="984"/>
      <c r="U9" s="218"/>
      <c r="V9" s="220"/>
      <c r="W9" s="221"/>
    </row>
    <row r="10" spans="1:23">
      <c r="A10" s="1085"/>
      <c r="B10" s="1086"/>
      <c r="C10" s="1087"/>
      <c r="D10" s="1088"/>
      <c r="E10" s="1092"/>
      <c r="F10" s="1093"/>
      <c r="G10" s="1091"/>
      <c r="H10" s="1091"/>
      <c r="I10" s="1091"/>
      <c r="J10" s="1084"/>
      <c r="K10" s="1084"/>
      <c r="L10" s="1091"/>
      <c r="M10" s="1091"/>
      <c r="N10" s="1091"/>
      <c r="O10" s="1091"/>
      <c r="P10" s="1091"/>
      <c r="Q10" s="1091"/>
      <c r="R10" s="1091"/>
      <c r="S10" s="984"/>
      <c r="T10" s="984"/>
      <c r="U10" s="218"/>
      <c r="V10" s="220"/>
      <c r="W10" s="221"/>
    </row>
    <row r="11" spans="1:23">
      <c r="A11" s="978"/>
      <c r="B11" s="980"/>
      <c r="C11" s="982"/>
      <c r="D11" s="979"/>
      <c r="E11" s="219"/>
      <c r="F11" s="983"/>
      <c r="G11" s="984"/>
      <c r="H11" s="984"/>
      <c r="I11" s="984"/>
      <c r="J11" s="981"/>
      <c r="K11" s="981"/>
      <c r="L11" s="984"/>
      <c r="M11" s="984"/>
      <c r="N11" s="984"/>
      <c r="O11" s="984"/>
      <c r="P11" s="984"/>
      <c r="Q11" s="984"/>
      <c r="R11" s="984"/>
      <c r="S11" s="984"/>
      <c r="T11" s="984"/>
      <c r="U11" s="218"/>
      <c r="V11" s="220"/>
      <c r="W11" s="221"/>
    </row>
    <row r="12" spans="1:23">
      <c r="A12" s="1040"/>
      <c r="B12" s="1041"/>
      <c r="C12" s="1042"/>
      <c r="D12" s="1042"/>
      <c r="E12" s="1042"/>
      <c r="F12" s="1043"/>
      <c r="G12" s="1044"/>
      <c r="H12" s="1044"/>
      <c r="I12" s="1044"/>
      <c r="J12" s="1044"/>
      <c r="K12" s="1044"/>
      <c r="L12" s="1044"/>
      <c r="M12" s="1044"/>
      <c r="N12" s="1044"/>
      <c r="O12" s="1044"/>
      <c r="P12" s="1044"/>
      <c r="Q12" s="1044"/>
      <c r="R12" s="1044"/>
      <c r="S12" s="1043"/>
      <c r="T12" s="1043"/>
      <c r="U12" s="1043"/>
      <c r="V12" s="1045"/>
      <c r="W12" s="1046"/>
    </row>
    <row r="13" spans="1:23" ht="13.5" thickBot="1">
      <c r="A13" s="1859" t="s">
        <v>85</v>
      </c>
      <c r="B13" s="1860"/>
      <c r="C13" s="1860"/>
      <c r="D13" s="1860"/>
      <c r="E13" s="1860"/>
      <c r="F13" s="1860"/>
      <c r="G13" s="1860"/>
      <c r="H13" s="1860"/>
      <c r="I13" s="1860"/>
      <c r="J13" s="1860"/>
      <c r="K13" s="1861"/>
      <c r="L13" s="1047">
        <f>SUM(L8:L12)</f>
        <v>0</v>
      </c>
      <c r="M13" s="1047">
        <f t="shared" ref="M13:W13" si="0">SUM(M8:M12)</f>
        <v>0</v>
      </c>
      <c r="N13" s="1047">
        <f t="shared" si="0"/>
        <v>0</v>
      </c>
      <c r="O13" s="1047">
        <f t="shared" si="0"/>
        <v>0</v>
      </c>
      <c r="P13" s="1047">
        <f t="shared" si="0"/>
        <v>0</v>
      </c>
      <c r="Q13" s="1047">
        <f t="shared" si="0"/>
        <v>0</v>
      </c>
      <c r="R13" s="1047">
        <f t="shared" si="0"/>
        <v>0</v>
      </c>
      <c r="S13" s="1047">
        <f t="shared" si="0"/>
        <v>0</v>
      </c>
      <c r="T13" s="1047">
        <f t="shared" si="0"/>
        <v>0</v>
      </c>
      <c r="U13" s="1047">
        <f t="shared" si="0"/>
        <v>0</v>
      </c>
      <c r="V13" s="1047">
        <f t="shared" si="0"/>
        <v>0</v>
      </c>
      <c r="W13" s="1048">
        <f t="shared" si="0"/>
        <v>0</v>
      </c>
    </row>
    <row r="15" spans="1:23" hidden="1">
      <c r="A15" s="222" t="s">
        <v>179</v>
      </c>
    </row>
    <row r="16" spans="1:23" hidden="1">
      <c r="A16" s="223" t="s">
        <v>238</v>
      </c>
      <c r="F16" s="224"/>
      <c r="G16" s="225"/>
      <c r="H16" s="225"/>
    </row>
    <row r="17" spans="1:8" hidden="1">
      <c r="A17" s="222" t="s">
        <v>311</v>
      </c>
      <c r="F17" s="224"/>
      <c r="G17" s="225"/>
      <c r="H17" s="225"/>
    </row>
    <row r="18" spans="1:8" hidden="1">
      <c r="A18" s="222" t="s">
        <v>312</v>
      </c>
      <c r="F18" s="224"/>
      <c r="G18" s="225"/>
      <c r="H18" s="225"/>
    </row>
    <row r="19" spans="1:8" hidden="1">
      <c r="A19" s="222" t="s">
        <v>313</v>
      </c>
      <c r="F19" s="224"/>
      <c r="G19" s="225"/>
      <c r="H19" s="225"/>
    </row>
    <row r="20" spans="1:8" hidden="1">
      <c r="A20" s="222" t="s">
        <v>314</v>
      </c>
      <c r="F20" s="224"/>
      <c r="G20" s="225"/>
      <c r="H20" s="225"/>
    </row>
    <row r="21" spans="1:8" hidden="1">
      <c r="A21" s="200" t="str">
        <f>CONCATENATE("10 dhe 11 do te pasqyrojne vitin e fillimit dhe mbarimit te projektit, per projektet e reja viti i fillimit duhet te jete viti ",VALUE('Te dhena fillesat 2022'!$D$4-1))</f>
        <v>10 dhe 11 do te pasqyrojne vitin e fillimit dhe mbarimit te projektit, per projektet e reja viti i fillimit duhet te jete viti 2021</v>
      </c>
      <c r="F21" s="224"/>
      <c r="G21" s="225"/>
      <c r="H21" s="225"/>
    </row>
    <row r="22" spans="1:8" hidden="1">
      <c r="A22" s="222" t="s">
        <v>315</v>
      </c>
      <c r="F22" s="224"/>
      <c r="G22" s="225"/>
      <c r="H22" s="225"/>
    </row>
    <row r="23" spans="1:8" hidden="1">
      <c r="A23" s="222"/>
      <c r="F23" s="224"/>
      <c r="G23" s="225"/>
      <c r="H23" s="225"/>
    </row>
    <row r="24" spans="1:8" hidden="1">
      <c r="A24" s="223" t="s">
        <v>180</v>
      </c>
    </row>
    <row r="25" spans="1:8" hidden="1">
      <c r="A25" s="200" t="str">
        <f>CONCATENATE("a.Ne kete kolone do te pasqyrohet niveli i financimit te huaj qe eshte perdorur deri fund te vitit"," ",VALUE('Te dhena fillesat 2022'!$D$4-2)," ","per projektin.")</f>
        <v>a.Ne kete kolone do te pasqyrohet niveli i financimit te huaj qe eshte perdorur deri fund te vitit 2020 per projektin.</v>
      </c>
    </row>
    <row r="26" spans="1:8" hidden="1">
      <c r="A26" s="200" t="str">
        <f>CONCATENATE("a/1. Ne kete kolone do te pasqyrohet niveli i financimit nga Buxheti i Shtetit deri ne fund te vitit"," ",VALUE('Te dhena fillesat 2022'!$D$4-2)," ","per projektin.")</f>
        <v>a/1. Ne kete kolone do te pasqyrohet niveli i financimit nga Buxheti i Shtetit deri ne fund te vitit 2020 per projektin.</v>
      </c>
    </row>
    <row r="27" spans="1:8" hidden="1">
      <c r="A27" s="200" t="str">
        <f>CONCATENATE("b. Ne kete kolone do te pasqyrohet niveli i financimit te huaj qe pritet te realizohet deri ne fund te vitit"," ",VALUE('Te dhena fillesat 2022'!$D$4-1)," ","per projektin.")</f>
        <v>b. Ne kete kolone do te pasqyrohet niveli i financimit te huaj qe pritet te realizohet deri ne fund te vitit 2021 per projektin.</v>
      </c>
    </row>
    <row r="28" spans="1:8" hidden="1">
      <c r="A28" s="200" t="str">
        <f>CONCATENATE("b/1. Ne kete kolone do te pasqyrohet niveli qe pritet te realizohet deri ne fund te vitit"," ",VALUE('Te dhena fillesat 2022'!$D$4-1)," ","nga Buxheti i Shtetit per projektin")</f>
        <v>b/1. Ne kete kolone do te pasqyrohet niveli qe pritet te realizohet deri ne fund te vitit 2021 nga Buxheti i Shtetit per projektin</v>
      </c>
    </row>
    <row r="29" spans="1:8" hidden="1">
      <c r="A29" s="200" t="str">
        <f>CONCATENATE("c. Ne kete kolone do te pasqyrohet niveli i financimit te huaj qe parashikohet te realizohet gjate vitit"," ",VALUE('Te dhena fillesat 2022'!$D$4)," ","per projektin ne vazhdim ose per nje projekt te ri")</f>
        <v>c. Ne kete kolone do te pasqyrohet niveli i financimit te huaj qe parashikohet te realizohet gjate vitit 2022 per projektin ne vazhdim ose per nje projekt te ri</v>
      </c>
    </row>
    <row r="30" spans="1:8" hidden="1">
      <c r="A30" s="200" t="str">
        <f>CONCATENATE("c/1. Ne kete kolone do te pasqyrohet kontributi i Buxhetit te Shtetit per projektin gjate vitit"," ",VALUE('Te dhena fillesat 2022'!$D$4))</f>
        <v>c/1. Ne kete kolone do te pasqyrohet kontributi i Buxhetit te Shtetit per projektin gjate vitit 2022</v>
      </c>
    </row>
    <row r="31" spans="1:8" hidden="1">
      <c r="A31" s="222"/>
    </row>
    <row r="32" spans="1:8" hidden="1">
      <c r="A32" s="222" t="s">
        <v>181</v>
      </c>
    </row>
    <row r="35" spans="8:15" ht="12.75" customHeight="1">
      <c r="H35" s="1639" t="s">
        <v>146</v>
      </c>
      <c r="I35" s="172" t="s">
        <v>144</v>
      </c>
      <c r="J35" s="173"/>
      <c r="K35" s="174"/>
      <c r="L35" s="83"/>
      <c r="M35" s="1638" t="s">
        <v>240</v>
      </c>
      <c r="N35" s="172" t="s">
        <v>144</v>
      </c>
      <c r="O35" s="173">
        <f>'Te dhena fillesat 2022'!$D$13</f>
        <v>0</v>
      </c>
    </row>
    <row r="36" spans="8:15">
      <c r="H36" s="1640"/>
      <c r="I36" s="172" t="s">
        <v>239</v>
      </c>
      <c r="J36" s="173"/>
      <c r="K36" s="174"/>
      <c r="L36" s="83"/>
      <c r="M36" s="1638"/>
      <c r="N36" s="172" t="s">
        <v>239</v>
      </c>
      <c r="O36" s="172"/>
    </row>
    <row r="37" spans="8:15">
      <c r="H37" s="1641"/>
      <c r="I37" s="172" t="s">
        <v>145</v>
      </c>
      <c r="J37" s="175"/>
      <c r="K37" s="176"/>
      <c r="L37" s="83"/>
      <c r="M37" s="1638"/>
      <c r="N37" s="172" t="s">
        <v>145</v>
      </c>
      <c r="O37" s="245"/>
    </row>
  </sheetData>
  <sheetProtection password="CA09" sheet="1"/>
  <protectedRanges>
    <protectedRange sqref="A8:W12 J35:K37 O35:O37" name="Range1"/>
  </protectedRanges>
  <mergeCells count="5">
    <mergeCell ref="A3:P3"/>
    <mergeCell ref="A4:U4"/>
    <mergeCell ref="H35:H37"/>
    <mergeCell ref="M35:M37"/>
    <mergeCell ref="A13:K13"/>
  </mergeCells>
  <phoneticPr fontId="20" type="noConversion"/>
  <printOptions horizontalCentered="1" verticalCentered="1"/>
  <pageMargins left="0" right="0" top="0" bottom="0" header="0.33" footer="0.42"/>
  <pageSetup paperSize="9" scale="77" orientation="landscape" r:id="rId1"/>
  <headerFooter alignWithMargins="0">
    <oddFooter>&amp;R7.A -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6" sqref="H6"/>
    </sheetView>
  </sheetViews>
  <sheetFormatPr defaultRowHeight="12.7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outlinePr summaryBelow="0" summaryRight="0"/>
    <pageSetUpPr autoPageBreaks="0"/>
  </sheetPr>
  <dimension ref="A1:AP53"/>
  <sheetViews>
    <sheetView showOutlineSymbols="0" topLeftCell="D13" workbookViewId="0">
      <selection activeCell="W26" sqref="W26"/>
    </sheetView>
  </sheetViews>
  <sheetFormatPr defaultColWidth="9.140625" defaultRowHeight="12.75"/>
  <cols>
    <col min="1" max="1" width="9" style="885" customWidth="1"/>
    <col min="2" max="2" width="34.28515625" style="885" customWidth="1"/>
    <col min="3" max="3" width="19.42578125" style="885" customWidth="1"/>
    <col min="4" max="4" width="12.42578125" style="885" customWidth="1"/>
    <col min="5" max="5" width="10.140625" style="885" customWidth="1"/>
    <col min="6" max="6" width="8.85546875" style="885" customWidth="1"/>
    <col min="7" max="8" width="9.5703125" style="885" customWidth="1"/>
    <col min="9" max="9" width="9.42578125" style="885" customWidth="1"/>
    <col min="10" max="10" width="9" style="885" customWidth="1"/>
    <col min="11" max="11" width="12" style="885" customWidth="1"/>
    <col min="12" max="12" width="13.7109375" style="885" customWidth="1"/>
    <col min="13" max="14" width="12" style="885" customWidth="1"/>
    <col min="15" max="15" width="13" style="885" bestFit="1" customWidth="1"/>
    <col min="16" max="16" width="13" style="885" customWidth="1"/>
    <col min="17" max="17" width="12.7109375" style="885" customWidth="1"/>
    <col min="18" max="18" width="13.140625" style="885" customWidth="1"/>
    <col min="19" max="19" width="10.85546875" style="885" customWidth="1"/>
    <col min="20" max="16384" width="9.140625" style="885"/>
  </cols>
  <sheetData>
    <row r="1" spans="1:42" ht="13.5">
      <c r="A1" s="1001" t="s">
        <v>9</v>
      </c>
      <c r="B1" s="1002"/>
      <c r="C1" s="1002"/>
      <c r="D1" s="1002"/>
      <c r="E1" s="1002"/>
      <c r="F1" s="1002"/>
      <c r="G1" s="1002"/>
      <c r="H1" s="1002"/>
      <c r="I1" s="1003"/>
      <c r="J1" s="1003"/>
      <c r="K1" s="1004"/>
      <c r="L1" s="1005"/>
      <c r="M1" s="884"/>
      <c r="N1" s="884"/>
    </row>
    <row r="2" spans="1:42" ht="13.5">
      <c r="A2" s="1006"/>
      <c r="B2" s="1007"/>
      <c r="C2" s="1007"/>
      <c r="D2" s="886"/>
      <c r="E2" s="887"/>
      <c r="F2" s="888" t="s">
        <v>74</v>
      </c>
      <c r="G2" s="889" t="s">
        <v>72</v>
      </c>
      <c r="H2" s="890"/>
      <c r="I2" s="890"/>
      <c r="J2" s="986"/>
      <c r="K2" s="891"/>
      <c r="L2" s="1008"/>
      <c r="M2" s="892"/>
      <c r="N2" s="892"/>
    </row>
    <row r="3" spans="1:42" ht="13.5">
      <c r="A3" s="1006"/>
      <c r="B3" s="1007"/>
      <c r="C3" s="1007"/>
      <c r="D3" s="893" t="s">
        <v>10</v>
      </c>
      <c r="E3" s="894"/>
      <c r="F3" s="720" t="str">
        <f>CONCATENATE('Te dhena fillesat 2022'!$C$7)</f>
        <v>1011205</v>
      </c>
      <c r="G3" s="938" t="str">
        <f>CONCATENATE('Te dhena fillesat 2022'!$D$7)</f>
        <v>Agjensia e Sherbimeve të Sportit</v>
      </c>
      <c r="H3" s="895"/>
      <c r="I3" s="895"/>
      <c r="J3" s="986"/>
      <c r="K3" s="896" t="s">
        <v>11</v>
      </c>
      <c r="L3" s="1008"/>
      <c r="M3" s="892"/>
      <c r="N3" s="892"/>
    </row>
    <row r="4" spans="1:42" ht="13.5">
      <c r="A4" s="1009"/>
      <c r="B4" s="1007"/>
      <c r="C4" s="1007"/>
      <c r="D4" s="939"/>
      <c r="E4" s="940"/>
      <c r="F4" s="941"/>
      <c r="G4" s="942"/>
      <c r="H4" s="943"/>
      <c r="I4" s="985"/>
      <c r="J4" s="891"/>
      <c r="K4" s="897" t="s">
        <v>12</v>
      </c>
      <c r="L4" s="1172">
        <f>'Te dhena fillesat 2022'!D4</f>
        <v>2022</v>
      </c>
      <c r="M4" s="898"/>
      <c r="N4" s="898"/>
    </row>
    <row r="5" spans="1:42" ht="13.5" thickBot="1">
      <c r="A5" s="1010"/>
      <c r="B5" s="1011"/>
      <c r="C5" s="1011"/>
      <c r="D5" s="1011"/>
      <c r="E5" s="1011"/>
      <c r="F5" s="1011"/>
      <c r="G5" s="1011"/>
      <c r="H5" s="1011"/>
      <c r="I5" s="1011"/>
      <c r="J5" s="1011"/>
      <c r="K5" s="1012" t="s">
        <v>13</v>
      </c>
      <c r="L5" s="1013"/>
      <c r="M5" s="884"/>
      <c r="N5" s="884"/>
    </row>
    <row r="6" spans="1:42" ht="14.25" thickBot="1">
      <c r="A6" s="899" t="s">
        <v>14</v>
      </c>
      <c r="B6" s="900"/>
      <c r="C6" s="900"/>
      <c r="D6" s="900"/>
      <c r="E6" s="900"/>
      <c r="F6" s="900"/>
      <c r="G6" s="900"/>
      <c r="H6" s="900"/>
      <c r="I6" s="900"/>
      <c r="J6" s="900"/>
      <c r="K6" s="900"/>
      <c r="L6" s="900"/>
      <c r="M6" s="900"/>
      <c r="N6" s="900"/>
    </row>
    <row r="7" spans="1:42" ht="5.25" customHeight="1" thickTop="1">
      <c r="A7" s="987"/>
      <c r="B7" s="988"/>
      <c r="C7" s="989"/>
      <c r="D7" s="989"/>
      <c r="E7" s="989"/>
      <c r="F7" s="990"/>
      <c r="G7" s="991"/>
      <c r="H7" s="989"/>
      <c r="I7" s="990"/>
      <c r="J7" s="991"/>
      <c r="K7" s="992"/>
      <c r="L7" s="993"/>
      <c r="M7" s="902"/>
      <c r="N7" s="902"/>
      <c r="O7" s="1622" t="str">
        <f>CONCATENATE("Parashikimi viti ", VALUE(L4))</f>
        <v>Parashikimi viti 2022</v>
      </c>
      <c r="P7" s="1623"/>
      <c r="Q7" s="1623"/>
      <c r="R7" s="1623"/>
      <c r="S7" s="1623"/>
      <c r="T7" s="1623"/>
      <c r="U7" s="1623"/>
      <c r="V7" s="1624"/>
      <c r="Y7" s="1622" t="str">
        <f>CONCATENATE("Parashikimi viti ", VALUE(L4)+1)</f>
        <v>Parashikimi viti 2023</v>
      </c>
      <c r="Z7" s="1623"/>
      <c r="AA7" s="1623"/>
      <c r="AB7" s="1623"/>
      <c r="AC7" s="1623"/>
      <c r="AD7" s="1623"/>
      <c r="AE7" s="1623"/>
      <c r="AF7" s="1624"/>
      <c r="AI7" s="1622" t="str">
        <f>CONCATENATE("Parashikimi viti ", VALUE(L4)+2)</f>
        <v>Parashikimi viti 2024</v>
      </c>
      <c r="AJ7" s="1623"/>
      <c r="AK7" s="1623"/>
      <c r="AL7" s="1623"/>
      <c r="AM7" s="1623"/>
      <c r="AN7" s="1623"/>
      <c r="AO7" s="1623"/>
      <c r="AP7" s="1624"/>
    </row>
    <row r="8" spans="1:42" ht="15" customHeight="1">
      <c r="A8" s="994"/>
      <c r="B8" s="903"/>
      <c r="C8" s="904"/>
      <c r="D8" s="905" t="str">
        <f>CONCATENATE("Fakt viti ", VALUE(L4-2))</f>
        <v>Fakt viti 2020</v>
      </c>
      <c r="E8" s="905" t="str">
        <f>CONCATENATE("I pritshmi viti ", VALUE(L4-1))</f>
        <v>I pritshmi viti 2021</v>
      </c>
      <c r="F8" s="906"/>
      <c r="G8" s="907"/>
      <c r="H8" s="1503" t="str">
        <f>CONCATENATE("Parashikimi viti ", VALUE(L4))</f>
        <v>Parashikimi viti 2022</v>
      </c>
      <c r="I8" s="1170"/>
      <c r="J8" s="1171"/>
      <c r="K8" s="908"/>
      <c r="L8" s="909"/>
      <c r="M8" s="910"/>
      <c r="N8" s="910"/>
      <c r="O8" s="1625"/>
      <c r="P8" s="1626"/>
      <c r="Q8" s="1626"/>
      <c r="R8" s="1626"/>
      <c r="S8" s="1626"/>
      <c r="T8" s="1626"/>
      <c r="U8" s="1626"/>
      <c r="V8" s="1627"/>
      <c r="Y8" s="1625"/>
      <c r="Z8" s="1626"/>
      <c r="AA8" s="1626"/>
      <c r="AB8" s="1626"/>
      <c r="AC8" s="1626"/>
      <c r="AD8" s="1626"/>
      <c r="AE8" s="1626"/>
      <c r="AF8" s="1627"/>
      <c r="AI8" s="1625"/>
      <c r="AJ8" s="1626"/>
      <c r="AK8" s="1626"/>
      <c r="AL8" s="1626"/>
      <c r="AM8" s="1626"/>
      <c r="AN8" s="1626"/>
      <c r="AO8" s="1626"/>
      <c r="AP8" s="1627"/>
    </row>
    <row r="9" spans="1:42" ht="15" customHeight="1">
      <c r="A9" s="994" t="s">
        <v>78</v>
      </c>
      <c r="B9" s="903"/>
      <c r="C9" s="904" t="s">
        <v>15</v>
      </c>
      <c r="D9" s="901"/>
      <c r="E9" s="901"/>
      <c r="F9" s="1619" t="s">
        <v>16</v>
      </c>
      <c r="G9" s="1620"/>
      <c r="H9" s="901"/>
      <c r="I9" s="1619" t="s">
        <v>16</v>
      </c>
      <c r="J9" s="1620"/>
      <c r="K9" s="908"/>
      <c r="L9" s="909"/>
      <c r="M9" s="910"/>
      <c r="N9" s="910"/>
      <c r="O9" s="911"/>
      <c r="P9" s="853"/>
      <c r="Q9" s="853"/>
      <c r="R9" s="853"/>
      <c r="S9" s="853"/>
      <c r="T9" s="853"/>
      <c r="U9" s="853"/>
      <c r="V9" s="850"/>
      <c r="Y9" s="914"/>
      <c r="Z9" s="915"/>
      <c r="AA9" s="915"/>
      <c r="AB9" s="915"/>
      <c r="AC9" s="915"/>
      <c r="AD9" s="915"/>
      <c r="AE9" s="915"/>
      <c r="AF9" s="916"/>
      <c r="AI9" s="914"/>
      <c r="AJ9" s="915"/>
      <c r="AK9" s="915"/>
      <c r="AL9" s="915"/>
      <c r="AM9" s="915"/>
      <c r="AN9" s="915"/>
      <c r="AO9" s="915"/>
      <c r="AP9" s="916"/>
    </row>
    <row r="10" spans="1:42" ht="15" customHeight="1">
      <c r="A10" s="994"/>
      <c r="B10" s="903" t="s">
        <v>17</v>
      </c>
      <c r="C10" s="904" t="s">
        <v>18</v>
      </c>
      <c r="D10" s="1632" t="s">
        <v>19</v>
      </c>
      <c r="E10" s="1632" t="s">
        <v>19</v>
      </c>
      <c r="F10" s="1634" t="s">
        <v>20</v>
      </c>
      <c r="G10" s="1634" t="s">
        <v>21</v>
      </c>
      <c r="H10" s="1632" t="s">
        <v>19</v>
      </c>
      <c r="I10" s="1634" t="s">
        <v>20</v>
      </c>
      <c r="J10" s="1634" t="s">
        <v>21</v>
      </c>
      <c r="K10" s="1628" t="str">
        <f>CONCATENATE("Total të Ardhura- Parashikimi për vitin ", VALUE(L4+1))</f>
        <v>Total të Ardhura- Parashikimi për vitin 2023</v>
      </c>
      <c r="L10" s="1630" t="str">
        <f>CONCATENATE("Total të Ardhura - Parashikimi për vitin ", VALUE(L4+2))</f>
        <v>Total të Ardhura - Parashikimi për vitin 2024</v>
      </c>
      <c r="M10" s="910"/>
      <c r="N10" s="910"/>
      <c r="O10" s="911"/>
      <c r="P10" s="853"/>
      <c r="Q10" s="853"/>
      <c r="R10" s="853"/>
      <c r="S10" s="853"/>
      <c r="T10" s="853"/>
      <c r="U10" s="853"/>
      <c r="V10" s="850"/>
      <c r="Y10" s="911"/>
      <c r="Z10" s="853"/>
      <c r="AA10" s="853"/>
      <c r="AB10" s="853"/>
      <c r="AC10" s="853"/>
      <c r="AD10" s="853"/>
      <c r="AE10" s="853"/>
      <c r="AF10" s="850"/>
      <c r="AI10" s="911"/>
      <c r="AJ10" s="853"/>
      <c r="AK10" s="853"/>
      <c r="AL10" s="853"/>
      <c r="AM10" s="853"/>
      <c r="AN10" s="853"/>
      <c r="AO10" s="853"/>
      <c r="AP10" s="850"/>
    </row>
    <row r="11" spans="1:42" ht="20.25" customHeight="1">
      <c r="A11" s="995"/>
      <c r="B11" s="917"/>
      <c r="C11" s="917"/>
      <c r="D11" s="1633"/>
      <c r="E11" s="1633"/>
      <c r="F11" s="1633"/>
      <c r="G11" s="1633"/>
      <c r="H11" s="1633"/>
      <c r="I11" s="1633"/>
      <c r="J11" s="1633"/>
      <c r="K11" s="1629"/>
      <c r="L11" s="1631"/>
      <c r="M11" s="918"/>
      <c r="N11" s="918"/>
      <c r="O11" s="919" t="s">
        <v>22</v>
      </c>
      <c r="P11" s="913"/>
      <c r="Q11" s="920">
        <v>231</v>
      </c>
      <c r="R11" s="920">
        <v>600</v>
      </c>
      <c r="S11" s="920">
        <v>602</v>
      </c>
      <c r="T11" s="912"/>
      <c r="U11" s="921" t="s">
        <v>23</v>
      </c>
      <c r="V11" s="922"/>
      <c r="Y11" s="919" t="s">
        <v>22</v>
      </c>
      <c r="Z11" s="913"/>
      <c r="AA11" s="920">
        <v>231</v>
      </c>
      <c r="AB11" s="920">
        <v>600</v>
      </c>
      <c r="AC11" s="920">
        <v>602</v>
      </c>
      <c r="AD11" s="912"/>
      <c r="AE11" s="921" t="s">
        <v>23</v>
      </c>
      <c r="AF11" s="922"/>
      <c r="AI11" s="919" t="s">
        <v>22</v>
      </c>
      <c r="AJ11" s="913"/>
      <c r="AK11" s="920">
        <v>231</v>
      </c>
      <c r="AL11" s="920">
        <v>600</v>
      </c>
      <c r="AM11" s="920">
        <v>602</v>
      </c>
      <c r="AN11" s="912"/>
      <c r="AO11" s="921" t="s">
        <v>23</v>
      </c>
      <c r="AP11" s="922"/>
    </row>
    <row r="12" spans="1:42" ht="13.5" thickBot="1">
      <c r="A12" s="996">
        <v>1</v>
      </c>
      <c r="B12" s="924">
        <v>2</v>
      </c>
      <c r="C12" s="924">
        <v>3</v>
      </c>
      <c r="D12" s="924">
        <v>4</v>
      </c>
      <c r="E12" s="924">
        <v>5</v>
      </c>
      <c r="F12" s="924">
        <v>6</v>
      </c>
      <c r="G12" s="924">
        <v>7</v>
      </c>
      <c r="H12" s="924">
        <v>8</v>
      </c>
      <c r="I12" s="924">
        <v>9</v>
      </c>
      <c r="J12" s="924">
        <v>10</v>
      </c>
      <c r="K12" s="924">
        <v>11</v>
      </c>
      <c r="L12" s="925">
        <v>12</v>
      </c>
      <c r="M12" s="918"/>
      <c r="N12" s="918"/>
      <c r="O12" s="923" t="s">
        <v>24</v>
      </c>
      <c r="P12" s="924" t="s">
        <v>25</v>
      </c>
      <c r="Q12" s="924" t="s">
        <v>26</v>
      </c>
      <c r="R12" s="924" t="s">
        <v>75</v>
      </c>
      <c r="S12" s="924" t="s">
        <v>27</v>
      </c>
      <c r="T12" s="924">
        <v>231</v>
      </c>
      <c r="U12" s="924">
        <v>600</v>
      </c>
      <c r="V12" s="926">
        <v>602</v>
      </c>
      <c r="Y12" s="923" t="s">
        <v>24</v>
      </c>
      <c r="Z12" s="924" t="s">
        <v>25</v>
      </c>
      <c r="AA12" s="924" t="s">
        <v>26</v>
      </c>
      <c r="AB12" s="924" t="s">
        <v>75</v>
      </c>
      <c r="AC12" s="924" t="s">
        <v>27</v>
      </c>
      <c r="AD12" s="924">
        <v>231</v>
      </c>
      <c r="AE12" s="924">
        <v>600</v>
      </c>
      <c r="AF12" s="926">
        <v>602</v>
      </c>
      <c r="AI12" s="923" t="s">
        <v>24</v>
      </c>
      <c r="AJ12" s="924" t="s">
        <v>25</v>
      </c>
      <c r="AK12" s="924" t="s">
        <v>26</v>
      </c>
      <c r="AL12" s="924" t="s">
        <v>75</v>
      </c>
      <c r="AM12" s="924" t="s">
        <v>27</v>
      </c>
      <c r="AN12" s="924">
        <v>231</v>
      </c>
      <c r="AO12" s="924">
        <v>600</v>
      </c>
      <c r="AP12" s="926">
        <v>602</v>
      </c>
    </row>
    <row r="13" spans="1:42" ht="13.5" customHeight="1" thickTop="1">
      <c r="A13" s="997">
        <v>71101</v>
      </c>
      <c r="B13" s="927" t="str">
        <f>IF('Llog_ardhurave 2022-2024'!B5=0,CONCATENATE(" "),CONCATENATE("Të ardhura nga"," ",'Llog_ardhurave 2022-2024'!B5))</f>
        <v>Të ardhura nga Shtypja e teksteve dhe leksioneve</v>
      </c>
      <c r="C13" s="928"/>
      <c r="D13" s="1124">
        <f>'Llog_ardhurave 2022-2024'!F5</f>
        <v>0</v>
      </c>
      <c r="E13" s="1124">
        <f>'Llog_ardhurave 2022-2024'!I5</f>
        <v>0</v>
      </c>
      <c r="F13" s="1125">
        <f>PRODUCT(E13*'Llog_ardhurave 2022-2024'!C5)</f>
        <v>0</v>
      </c>
      <c r="G13" s="1126">
        <f t="shared" ref="G13:G34" si="0">E13-F13</f>
        <v>0</v>
      </c>
      <c r="H13" s="1124">
        <f>'Llog_ardhurave 2022-2024'!L5</f>
        <v>0</v>
      </c>
      <c r="I13" s="1125">
        <f>PRODUCT(H13*'Llog_ardhurave 2022-2024'!C5)</f>
        <v>0</v>
      </c>
      <c r="J13" s="1126">
        <f t="shared" ref="J13:J34" si="1">H13-I13</f>
        <v>0</v>
      </c>
      <c r="K13" s="1124">
        <f>'Llog_ardhurave 2022-2024'!O5</f>
        <v>0</v>
      </c>
      <c r="L13" s="1127">
        <f>'Llog_ardhurave 2022-2024'!R5</f>
        <v>0</v>
      </c>
      <c r="M13" s="929"/>
      <c r="N13" s="929"/>
      <c r="O13" s="1133">
        <f t="shared" ref="O13:O15" si="2">SUM(I13)</f>
        <v>0</v>
      </c>
      <c r="P13" s="1134"/>
      <c r="Q13" s="1135">
        <f t="shared" ref="Q13:Q16" si="3">PRODUCT(O13,T13,0.01)</f>
        <v>0</v>
      </c>
      <c r="R13" s="1135">
        <f t="shared" ref="R13:R16" si="4">PRODUCT(O13,U13,0.01)</f>
        <v>0</v>
      </c>
      <c r="S13" s="1135">
        <f t="shared" ref="S13:S16" si="5">PRODUCT(O13,V13,0.01)</f>
        <v>0</v>
      </c>
      <c r="T13" s="1135">
        <v>40</v>
      </c>
      <c r="U13" s="1135">
        <v>20</v>
      </c>
      <c r="V13" s="1136">
        <v>40</v>
      </c>
      <c r="W13" s="962"/>
      <c r="X13" s="962"/>
      <c r="Y13" s="1133">
        <f t="shared" ref="Y13:Y39" si="6">SUM(K13)</f>
        <v>0</v>
      </c>
      <c r="Z13" s="1134"/>
      <c r="AA13" s="1135">
        <f t="shared" ref="AA13:AA16" si="7">PRODUCT(Y13,AD13,0.01)</f>
        <v>0</v>
      </c>
      <c r="AB13" s="1135">
        <f t="shared" ref="AB13:AB16" si="8">PRODUCT(Y13,AE13,0.01)</f>
        <v>0</v>
      </c>
      <c r="AC13" s="1135">
        <f t="shared" ref="AC13:AC16" si="9">PRODUCT(Y13,AF13,0.01)</f>
        <v>0</v>
      </c>
      <c r="AD13" s="1135">
        <v>40</v>
      </c>
      <c r="AE13" s="1135">
        <v>20</v>
      </c>
      <c r="AF13" s="1136">
        <v>40</v>
      </c>
      <c r="AG13" s="962"/>
      <c r="AH13" s="962"/>
      <c r="AI13" s="1133">
        <f t="shared" ref="AI13:AI39" si="10">SUM(L13)</f>
        <v>0</v>
      </c>
      <c r="AJ13" s="1134"/>
      <c r="AK13" s="1135">
        <f t="shared" ref="AK13:AK16" si="11">PRODUCT(AI13,AN13,0.01)</f>
        <v>0</v>
      </c>
      <c r="AL13" s="1135">
        <f t="shared" ref="AL13:AL16" si="12">PRODUCT(AI13,AO13,0.01)</f>
        <v>0</v>
      </c>
      <c r="AM13" s="1135">
        <f t="shared" ref="AM13:AM16" si="13">PRODUCT(AI13,AP13,0.01)</f>
        <v>0</v>
      </c>
      <c r="AN13" s="1135">
        <v>40</v>
      </c>
      <c r="AO13" s="1135">
        <v>20</v>
      </c>
      <c r="AP13" s="1136">
        <v>40</v>
      </c>
    </row>
    <row r="14" spans="1:42" ht="13.5" customHeight="1">
      <c r="A14" s="998">
        <v>71101</v>
      </c>
      <c r="B14" s="930" t="str">
        <f>IF('Llog_ardhurave 2022-2024'!B6=0,CONCATENATE(" "),CONCATENATE("Të ardhura nga"," ",'Llog_ardhurave 2022-2024'!B6))</f>
        <v>Të ardhura nga Qendrat ekspirmentale</v>
      </c>
      <c r="C14" s="931"/>
      <c r="D14" s="1125">
        <f>'Llog_ardhurave 2022-2024'!F6</f>
        <v>0</v>
      </c>
      <c r="E14" s="1125">
        <f>'Llog_ardhurave 2022-2024'!I6</f>
        <v>0</v>
      </c>
      <c r="F14" s="1125">
        <f>PRODUCT(E14*'Llog_ardhurave 2022-2024'!C6)</f>
        <v>0</v>
      </c>
      <c r="G14" s="1125">
        <f t="shared" si="0"/>
        <v>0</v>
      </c>
      <c r="H14" s="1125">
        <f>'Llog_ardhurave 2022-2024'!L6</f>
        <v>0</v>
      </c>
      <c r="I14" s="1125">
        <f>PRODUCT(H14*'Llog_ardhurave 2022-2024'!C6)</f>
        <v>0</v>
      </c>
      <c r="J14" s="1125">
        <f t="shared" si="1"/>
        <v>0</v>
      </c>
      <c r="K14" s="1125">
        <f>'Llog_ardhurave 2022-2024'!O6</f>
        <v>0</v>
      </c>
      <c r="L14" s="1128">
        <f>'Llog_ardhurave 2022-2024'!R6</f>
        <v>0</v>
      </c>
      <c r="M14" s="929"/>
      <c r="N14" s="929"/>
      <c r="O14" s="1137">
        <f t="shared" si="2"/>
        <v>0</v>
      </c>
      <c r="P14" s="1138"/>
      <c r="Q14" s="1139">
        <f t="shared" si="3"/>
        <v>0</v>
      </c>
      <c r="R14" s="1139">
        <f t="shared" si="4"/>
        <v>0</v>
      </c>
      <c r="S14" s="1140">
        <f t="shared" si="5"/>
        <v>0</v>
      </c>
      <c r="T14" s="1139">
        <v>50</v>
      </c>
      <c r="U14" s="1139">
        <v>20</v>
      </c>
      <c r="V14" s="1141">
        <v>30</v>
      </c>
      <c r="W14" s="962"/>
      <c r="X14" s="962"/>
      <c r="Y14" s="1137">
        <f t="shared" si="6"/>
        <v>0</v>
      </c>
      <c r="Z14" s="1138"/>
      <c r="AA14" s="1139">
        <f t="shared" si="7"/>
        <v>0</v>
      </c>
      <c r="AB14" s="1139">
        <f t="shared" si="8"/>
        <v>0</v>
      </c>
      <c r="AC14" s="1140">
        <f t="shared" si="9"/>
        <v>0</v>
      </c>
      <c r="AD14" s="1139">
        <v>50</v>
      </c>
      <c r="AE14" s="1139">
        <v>20</v>
      </c>
      <c r="AF14" s="1141">
        <v>30</v>
      </c>
      <c r="AG14" s="962"/>
      <c r="AH14" s="962"/>
      <c r="AI14" s="1137">
        <f t="shared" si="10"/>
        <v>0</v>
      </c>
      <c r="AJ14" s="1138"/>
      <c r="AK14" s="1139">
        <f t="shared" si="11"/>
        <v>0</v>
      </c>
      <c r="AL14" s="1139">
        <f t="shared" si="12"/>
        <v>0</v>
      </c>
      <c r="AM14" s="1140">
        <f t="shared" si="13"/>
        <v>0</v>
      </c>
      <c r="AN14" s="1139">
        <v>50</v>
      </c>
      <c r="AO14" s="1139">
        <v>20</v>
      </c>
      <c r="AP14" s="1141">
        <v>30</v>
      </c>
    </row>
    <row r="15" spans="1:42" ht="13.5" customHeight="1">
      <c r="A15" s="998">
        <v>71096</v>
      </c>
      <c r="B15" s="930" t="str">
        <f>IF('Llog_ardhurave 2022-2024'!B7=0,CONCATENATE(" "),CONCATENATE("Të ardhura nga"," ",'Llog_ardhurave 2022-2024'!B7))</f>
        <v>Të ardhura nga Qeratë</v>
      </c>
      <c r="C15" s="931"/>
      <c r="D15" s="1125">
        <f>'Llog_ardhurave 2022-2024'!F7</f>
        <v>0</v>
      </c>
      <c r="E15" s="1125">
        <f>'Llog_ardhurave 2022-2024'!I7</f>
        <v>0</v>
      </c>
      <c r="F15" s="1125">
        <f t="shared" ref="F15:F23" si="14">PRODUCT(E15*100%)</f>
        <v>0</v>
      </c>
      <c r="G15" s="1125">
        <f t="shared" si="0"/>
        <v>0</v>
      </c>
      <c r="H15" s="1125">
        <f>'Llog_ardhurave 2022-2024'!L7</f>
        <v>0</v>
      </c>
      <c r="I15" s="1125">
        <f>PRODUCT(H15*'Llog_ardhurave 2022-2024'!C7)</f>
        <v>0</v>
      </c>
      <c r="J15" s="1125">
        <f t="shared" si="1"/>
        <v>0</v>
      </c>
      <c r="K15" s="1125">
        <f>'Llog_ardhurave 2022-2024'!O7</f>
        <v>0</v>
      </c>
      <c r="L15" s="1128">
        <f>'Llog_ardhurave 2022-2024'!R7</f>
        <v>0</v>
      </c>
      <c r="M15" s="929"/>
      <c r="N15" s="929"/>
      <c r="O15" s="1137">
        <f t="shared" si="2"/>
        <v>0</v>
      </c>
      <c r="P15" s="1138"/>
      <c r="Q15" s="1139">
        <f t="shared" si="3"/>
        <v>0</v>
      </c>
      <c r="R15" s="1139">
        <f t="shared" si="4"/>
        <v>0</v>
      </c>
      <c r="S15" s="1140">
        <f t="shared" si="5"/>
        <v>0</v>
      </c>
      <c r="T15" s="1139">
        <v>50</v>
      </c>
      <c r="U15" s="1139">
        <v>20</v>
      </c>
      <c r="V15" s="1141">
        <v>30</v>
      </c>
      <c r="W15" s="962"/>
      <c r="X15" s="962"/>
      <c r="Y15" s="1137">
        <f t="shared" si="6"/>
        <v>0</v>
      </c>
      <c r="Z15" s="1138"/>
      <c r="AA15" s="1139">
        <f>PRODUCT(Y15,AD15,0.01)</f>
        <v>0</v>
      </c>
      <c r="AB15" s="1139">
        <f t="shared" si="8"/>
        <v>0</v>
      </c>
      <c r="AC15" s="1140">
        <f t="shared" si="9"/>
        <v>0</v>
      </c>
      <c r="AD15" s="1139">
        <v>50</v>
      </c>
      <c r="AE15" s="1139">
        <v>20</v>
      </c>
      <c r="AF15" s="1141">
        <v>30</v>
      </c>
      <c r="AG15" s="962"/>
      <c r="AH15" s="962"/>
      <c r="AI15" s="1137">
        <f t="shared" si="10"/>
        <v>0</v>
      </c>
      <c r="AJ15" s="1138"/>
      <c r="AK15" s="1139">
        <f t="shared" si="11"/>
        <v>0</v>
      </c>
      <c r="AL15" s="1139">
        <f t="shared" si="12"/>
        <v>0</v>
      </c>
      <c r="AM15" s="1140">
        <f t="shared" si="13"/>
        <v>0</v>
      </c>
      <c r="AN15" s="1139">
        <v>50</v>
      </c>
      <c r="AO15" s="1139">
        <v>20</v>
      </c>
      <c r="AP15" s="1141">
        <v>30</v>
      </c>
    </row>
    <row r="16" spans="1:42" ht="13.5" customHeight="1">
      <c r="A16" s="998">
        <v>71101</v>
      </c>
      <c r="B16" s="930" t="str">
        <f>IF('Llog_ardhurave 2022-2024'!B8=0,CONCATENATE(" "),CONCATENATE("Të ardhura nga"," ",'Llog_ardhurave 2022-2024'!B8))</f>
        <v>Të ardhura nga Tarifat e shkollimit</v>
      </c>
      <c r="C16" s="930"/>
      <c r="D16" s="1125">
        <f>'Llog_ardhurave 2022-2024'!F17</f>
        <v>0</v>
      </c>
      <c r="E16" s="1129">
        <f>'Llog_ardhurave 2022-2024'!I17</f>
        <v>0</v>
      </c>
      <c r="F16" s="1125">
        <f t="shared" si="14"/>
        <v>0</v>
      </c>
      <c r="G16" s="1125">
        <f t="shared" si="0"/>
        <v>0</v>
      </c>
      <c r="H16" s="1129">
        <f>'Llog_ardhurave 2022-2024'!L17</f>
        <v>0</v>
      </c>
      <c r="I16" s="1125">
        <f>PRODUCT(H16*'Llog_ardhurave 2022-2024'!C17)</f>
        <v>0</v>
      </c>
      <c r="J16" s="1125">
        <f>H16-I16</f>
        <v>0</v>
      </c>
      <c r="K16" s="1129">
        <f>'Llog_ardhurave 2022-2024'!O17</f>
        <v>0</v>
      </c>
      <c r="L16" s="1130">
        <f>'Llog_ardhurave 2022-2024'!R17</f>
        <v>0</v>
      </c>
      <c r="M16" s="929"/>
      <c r="N16" s="929"/>
      <c r="O16" s="1137">
        <f>SUM(I16)</f>
        <v>0</v>
      </c>
      <c r="P16" s="1138"/>
      <c r="Q16" s="1139">
        <f t="shared" si="3"/>
        <v>0</v>
      </c>
      <c r="R16" s="1139">
        <f t="shared" si="4"/>
        <v>0</v>
      </c>
      <c r="S16" s="1140">
        <f t="shared" si="5"/>
        <v>0</v>
      </c>
      <c r="T16" s="1139">
        <v>40</v>
      </c>
      <c r="U16" s="1139">
        <v>40</v>
      </c>
      <c r="V16" s="1141">
        <v>20</v>
      </c>
      <c r="W16" s="962"/>
      <c r="X16" s="962"/>
      <c r="Y16" s="1137">
        <f t="shared" si="6"/>
        <v>0</v>
      </c>
      <c r="Z16" s="1138"/>
      <c r="AA16" s="1139">
        <f t="shared" si="7"/>
        <v>0</v>
      </c>
      <c r="AB16" s="1139">
        <f t="shared" si="8"/>
        <v>0</v>
      </c>
      <c r="AC16" s="1140">
        <f t="shared" si="9"/>
        <v>0</v>
      </c>
      <c r="AD16" s="1139">
        <v>40</v>
      </c>
      <c r="AE16" s="1139">
        <v>40</v>
      </c>
      <c r="AF16" s="1141">
        <v>20</v>
      </c>
      <c r="AG16" s="962"/>
      <c r="AH16" s="962"/>
      <c r="AI16" s="1137">
        <f t="shared" si="10"/>
        <v>0</v>
      </c>
      <c r="AJ16" s="1138"/>
      <c r="AK16" s="1139">
        <f t="shared" si="11"/>
        <v>0</v>
      </c>
      <c r="AL16" s="1139">
        <f t="shared" si="12"/>
        <v>0</v>
      </c>
      <c r="AM16" s="1140">
        <f t="shared" si="13"/>
        <v>0</v>
      </c>
      <c r="AN16" s="1139">
        <v>40</v>
      </c>
      <c r="AO16" s="1139">
        <v>40</v>
      </c>
      <c r="AP16" s="1141">
        <v>20</v>
      </c>
    </row>
    <row r="17" spans="1:42" ht="13.5" customHeight="1">
      <c r="A17" s="998">
        <v>71101</v>
      </c>
      <c r="B17" s="930" t="str">
        <f>IF('Llog_ardhurave 2022-2024'!B18=0,CONCATENATE(" "),CONCATENATE("Të ardhura nga"," ",'Llog_ardhurave 2022-2024'!B18))</f>
        <v>Të ardhura nga Master profesional</v>
      </c>
      <c r="C17" s="930"/>
      <c r="D17" s="1129">
        <f>'Llog_ardhurave 2022-2024'!F29</f>
        <v>0</v>
      </c>
      <c r="E17" s="1129">
        <f>'Llog_ardhurave 2022-2024'!I29</f>
        <v>0</v>
      </c>
      <c r="F17" s="1125">
        <f t="shared" ref="F17" si="15">PRODUCT(E17*100%)</f>
        <v>0</v>
      </c>
      <c r="G17" s="1125">
        <f t="shared" ref="G17" si="16">E17-F17</f>
        <v>0</v>
      </c>
      <c r="H17" s="1125">
        <f>'Llog_ardhurave 2022-2024'!L29</f>
        <v>0</v>
      </c>
      <c r="I17" s="1125">
        <f>PRODUCT(H17*'Llog_ardhurave 2022-2024'!C29)</f>
        <v>0</v>
      </c>
      <c r="J17" s="1125">
        <f>H17-I17</f>
        <v>0</v>
      </c>
      <c r="K17" s="1125">
        <f>'Llog_ardhurave 2022-2024'!O29</f>
        <v>0</v>
      </c>
      <c r="L17" s="1128">
        <f>'Llog_ardhurave 2022-2024'!R29</f>
        <v>0</v>
      </c>
      <c r="M17" s="929"/>
      <c r="N17" s="929"/>
      <c r="O17" s="1137">
        <f>SUM(I17)</f>
        <v>0</v>
      </c>
      <c r="P17" s="1138"/>
      <c r="Q17" s="1139">
        <f t="shared" ref="Q17:Q28" si="17">PRODUCT(O17,T17,0.01)</f>
        <v>0</v>
      </c>
      <c r="R17" s="1139">
        <f t="shared" ref="R17:R28" si="18">PRODUCT(O17,U17,0.01)</f>
        <v>0</v>
      </c>
      <c r="S17" s="1140">
        <f t="shared" ref="S17:S28" si="19">PRODUCT(O17,V17,0.01)</f>
        <v>0</v>
      </c>
      <c r="T17" s="1139">
        <v>40</v>
      </c>
      <c r="U17" s="1139">
        <v>40</v>
      </c>
      <c r="V17" s="1141">
        <v>20</v>
      </c>
      <c r="W17" s="962"/>
      <c r="X17" s="962"/>
      <c r="Y17" s="1137">
        <f t="shared" ref="Y17:Y28" si="20">SUM(K17)</f>
        <v>0</v>
      </c>
      <c r="Z17" s="1138"/>
      <c r="AA17" s="1139">
        <f t="shared" ref="AA17:AA28" si="21">PRODUCT(Y17,AD17,0.01)</f>
        <v>0</v>
      </c>
      <c r="AB17" s="1139">
        <f t="shared" ref="AB17:AB28" si="22">PRODUCT(Y17,AE17,0.01)</f>
        <v>0</v>
      </c>
      <c r="AC17" s="1140">
        <f t="shared" ref="AC17:AC28" si="23">PRODUCT(Y17,AF17,0.01)</f>
        <v>0</v>
      </c>
      <c r="AD17" s="1139">
        <v>40</v>
      </c>
      <c r="AE17" s="1139">
        <v>40</v>
      </c>
      <c r="AF17" s="1141">
        <v>20</v>
      </c>
      <c r="AG17" s="962"/>
      <c r="AH17" s="962"/>
      <c r="AI17" s="1137">
        <f t="shared" ref="AI17:AI28" si="24">SUM(L17)</f>
        <v>0</v>
      </c>
      <c r="AJ17" s="1138"/>
      <c r="AK17" s="1139">
        <f t="shared" ref="AK17:AK28" si="25">PRODUCT(AI17,AN17,0.01)</f>
        <v>0</v>
      </c>
      <c r="AL17" s="1139">
        <f t="shared" ref="AL17:AL28" si="26">PRODUCT(AI17,AO17,0.01)</f>
        <v>0</v>
      </c>
      <c r="AM17" s="1140">
        <f t="shared" ref="AM17:AM28" si="27">PRODUCT(AI17,AP17,0.01)</f>
        <v>0</v>
      </c>
      <c r="AN17" s="1139">
        <v>40</v>
      </c>
      <c r="AO17" s="1139">
        <v>40</v>
      </c>
      <c r="AP17" s="1141">
        <v>20</v>
      </c>
    </row>
    <row r="18" spans="1:42" ht="13.5" customHeight="1">
      <c r="A18" s="998">
        <v>71101</v>
      </c>
      <c r="B18" s="930" t="str">
        <f>IF('Llog_ardhurave 2022-2024'!B30=0,CONCATENATE(" "),CONCATENATE("Të ardhura nga"," ",'Llog_ardhurave 2022-2024'!B30))</f>
        <v>Të ardhura nga Master Shkencor</v>
      </c>
      <c r="C18" s="930"/>
      <c r="D18" s="1129">
        <f>'Llog_ardhurave 2022-2024'!F41</f>
        <v>0</v>
      </c>
      <c r="E18" s="1129">
        <f>'Llog_ardhurave 2022-2024'!I41</f>
        <v>0</v>
      </c>
      <c r="F18" s="1125">
        <f t="shared" ref="F18" si="28">PRODUCT(E18*100%)</f>
        <v>0</v>
      </c>
      <c r="G18" s="1125">
        <f t="shared" ref="G18" si="29">E18-F18</f>
        <v>0</v>
      </c>
      <c r="H18" s="1125">
        <f>'Llog_ardhurave 2022-2024'!L41</f>
        <v>0</v>
      </c>
      <c r="I18" s="1125">
        <f>PRODUCT(H18*'Llog_ardhurave 2022-2024'!C18)</f>
        <v>0</v>
      </c>
      <c r="J18" s="1125">
        <f t="shared" ref="J18" si="30">H18-I18</f>
        <v>0</v>
      </c>
      <c r="K18" s="1125">
        <f>'Llog_ardhurave 2022-2024'!O41</f>
        <v>0</v>
      </c>
      <c r="L18" s="1128">
        <f>'Llog_ardhurave 2022-2024'!R41</f>
        <v>0</v>
      </c>
      <c r="M18" s="929"/>
      <c r="N18" s="929"/>
      <c r="O18" s="1137">
        <f t="shared" ref="O18:O28" si="31">SUM(I18)</f>
        <v>0</v>
      </c>
      <c r="P18" s="1138"/>
      <c r="Q18" s="1139">
        <f t="shared" si="17"/>
        <v>0</v>
      </c>
      <c r="R18" s="1139">
        <f t="shared" si="18"/>
        <v>0</v>
      </c>
      <c r="S18" s="1140">
        <f t="shared" si="19"/>
        <v>0</v>
      </c>
      <c r="T18" s="1139">
        <v>40</v>
      </c>
      <c r="U18" s="1139">
        <v>40</v>
      </c>
      <c r="V18" s="1141">
        <v>20</v>
      </c>
      <c r="W18" s="962"/>
      <c r="X18" s="962"/>
      <c r="Y18" s="1137">
        <f t="shared" si="20"/>
        <v>0</v>
      </c>
      <c r="Z18" s="1138"/>
      <c r="AA18" s="1139">
        <f t="shared" si="21"/>
        <v>0</v>
      </c>
      <c r="AB18" s="1139">
        <f t="shared" si="22"/>
        <v>0</v>
      </c>
      <c r="AC18" s="1140">
        <f t="shared" si="23"/>
        <v>0</v>
      </c>
      <c r="AD18" s="1139">
        <v>40</v>
      </c>
      <c r="AE18" s="1139">
        <v>40</v>
      </c>
      <c r="AF18" s="1141">
        <v>20</v>
      </c>
      <c r="AG18" s="962"/>
      <c r="AH18" s="962"/>
      <c r="AI18" s="1137">
        <f t="shared" si="24"/>
        <v>0</v>
      </c>
      <c r="AJ18" s="1138"/>
      <c r="AK18" s="1139">
        <f t="shared" si="25"/>
        <v>0</v>
      </c>
      <c r="AL18" s="1139">
        <f t="shared" si="26"/>
        <v>0</v>
      </c>
      <c r="AM18" s="1140">
        <f t="shared" si="27"/>
        <v>0</v>
      </c>
      <c r="AN18" s="1139">
        <v>40</v>
      </c>
      <c r="AO18" s="1139">
        <v>40</v>
      </c>
      <c r="AP18" s="1141">
        <v>20</v>
      </c>
    </row>
    <row r="19" spans="1:42" ht="13.5" customHeight="1">
      <c r="A19" s="998">
        <v>71101</v>
      </c>
      <c r="B19" s="930" t="str">
        <f>IF('Llog_ardhurave 2022-2024'!B42=0,CONCATENATE(" "),CONCATENATE("Të ardhura nga"," ",'Llog_ardhurave 2022-2024'!B42))</f>
        <v>Të ardhura nga Doktoraturë</v>
      </c>
      <c r="C19" s="930"/>
      <c r="D19" s="1129">
        <f>'Llog_ardhurave 2022-2024'!F53</f>
        <v>0</v>
      </c>
      <c r="E19" s="1129">
        <f>'Llog_ardhurave 2022-2024'!I53</f>
        <v>0</v>
      </c>
      <c r="F19" s="1125">
        <f t="shared" si="14"/>
        <v>0</v>
      </c>
      <c r="G19" s="1125">
        <f t="shared" si="0"/>
        <v>0</v>
      </c>
      <c r="H19" s="1125">
        <f>'Llog_ardhurave 2022-2024'!L53</f>
        <v>0</v>
      </c>
      <c r="I19" s="1125">
        <f>PRODUCT(H19*'Llog_ardhurave 2022-2024'!C19)</f>
        <v>0</v>
      </c>
      <c r="J19" s="1125">
        <f t="shared" si="1"/>
        <v>0</v>
      </c>
      <c r="K19" s="1125">
        <f>'Llog_ardhurave 2022-2024'!O53</f>
        <v>0</v>
      </c>
      <c r="L19" s="1128">
        <f>'Llog_ardhurave 2022-2024'!R53</f>
        <v>0</v>
      </c>
      <c r="M19" s="929"/>
      <c r="N19" s="929"/>
      <c r="O19" s="1137">
        <f t="shared" si="31"/>
        <v>0</v>
      </c>
      <c r="P19" s="1138"/>
      <c r="Q19" s="1139">
        <f t="shared" si="17"/>
        <v>0</v>
      </c>
      <c r="R19" s="1139">
        <f t="shared" si="18"/>
        <v>0</v>
      </c>
      <c r="S19" s="1140">
        <f t="shared" si="19"/>
        <v>0</v>
      </c>
      <c r="T19" s="1139">
        <v>40</v>
      </c>
      <c r="U19" s="1139">
        <v>40</v>
      </c>
      <c r="V19" s="1141">
        <v>20</v>
      </c>
      <c r="W19" s="962"/>
      <c r="X19" s="962"/>
      <c r="Y19" s="1137">
        <f t="shared" si="20"/>
        <v>0</v>
      </c>
      <c r="Z19" s="1138"/>
      <c r="AA19" s="1139">
        <f t="shared" si="21"/>
        <v>0</v>
      </c>
      <c r="AB19" s="1139">
        <f t="shared" si="22"/>
        <v>0</v>
      </c>
      <c r="AC19" s="1140">
        <f t="shared" si="23"/>
        <v>0</v>
      </c>
      <c r="AD19" s="1139">
        <v>40</v>
      </c>
      <c r="AE19" s="1139">
        <v>40</v>
      </c>
      <c r="AF19" s="1141">
        <v>20</v>
      </c>
      <c r="AG19" s="962"/>
      <c r="AH19" s="962"/>
      <c r="AI19" s="1137">
        <f t="shared" si="24"/>
        <v>0</v>
      </c>
      <c r="AJ19" s="1138"/>
      <c r="AK19" s="1139">
        <f t="shared" si="25"/>
        <v>0</v>
      </c>
      <c r="AL19" s="1139">
        <f t="shared" si="26"/>
        <v>0</v>
      </c>
      <c r="AM19" s="1140">
        <f t="shared" si="27"/>
        <v>0</v>
      </c>
      <c r="AN19" s="1139">
        <v>40</v>
      </c>
      <c r="AO19" s="1139">
        <v>40</v>
      </c>
      <c r="AP19" s="1141">
        <v>20</v>
      </c>
    </row>
    <row r="20" spans="1:42" ht="13.5" customHeight="1">
      <c r="A20" s="998">
        <v>71101</v>
      </c>
      <c r="B20" s="930" t="str">
        <f>IF('Llog_ardhurave 2022-2024'!B54=0,CONCATENATE(" "),CONCATENATE("Të ardhura nga"," ",'Llog_ardhurave 2022-2024'!B54))</f>
        <v xml:space="preserve">Të ardhura nga Tarifat e kohës pjesshme </v>
      </c>
      <c r="C20" s="930"/>
      <c r="D20" s="1125">
        <f>'Llog_ardhurave 2022-2024'!F71</f>
        <v>0</v>
      </c>
      <c r="E20" s="1129">
        <f>'Llog_ardhurave 2022-2024'!I71</f>
        <v>0</v>
      </c>
      <c r="F20" s="1125">
        <f t="shared" si="14"/>
        <v>0</v>
      </c>
      <c r="G20" s="1125">
        <f t="shared" si="0"/>
        <v>0</v>
      </c>
      <c r="H20" s="1125">
        <f>'Llog_ardhurave 2022-2024'!L71</f>
        <v>0</v>
      </c>
      <c r="I20" s="1125">
        <f>PRODUCT(H20*'Llog_ardhurave 2022-2024'!C54)</f>
        <v>0</v>
      </c>
      <c r="J20" s="1125">
        <f t="shared" si="1"/>
        <v>0</v>
      </c>
      <c r="K20" s="1125">
        <f>'Llog_ardhurave 2022-2024'!O71</f>
        <v>0</v>
      </c>
      <c r="L20" s="1128">
        <f>'Llog_ardhurave 2022-2024'!R71</f>
        <v>0</v>
      </c>
      <c r="M20" s="929"/>
      <c r="N20" s="929"/>
      <c r="O20" s="1137">
        <f t="shared" si="31"/>
        <v>0</v>
      </c>
      <c r="P20" s="1138"/>
      <c r="Q20" s="1139">
        <f t="shared" si="17"/>
        <v>0</v>
      </c>
      <c r="R20" s="1139">
        <f t="shared" si="18"/>
        <v>0</v>
      </c>
      <c r="S20" s="1140">
        <f t="shared" si="19"/>
        <v>0</v>
      </c>
      <c r="T20" s="1139">
        <v>40</v>
      </c>
      <c r="U20" s="1139">
        <v>40</v>
      </c>
      <c r="V20" s="1141">
        <v>20</v>
      </c>
      <c r="W20" s="962"/>
      <c r="X20" s="962"/>
      <c r="Y20" s="1137">
        <f t="shared" si="20"/>
        <v>0</v>
      </c>
      <c r="Z20" s="1138"/>
      <c r="AA20" s="1139">
        <f t="shared" si="21"/>
        <v>0</v>
      </c>
      <c r="AB20" s="1139">
        <f t="shared" si="22"/>
        <v>0</v>
      </c>
      <c r="AC20" s="1140">
        <f t="shared" si="23"/>
        <v>0</v>
      </c>
      <c r="AD20" s="1139">
        <v>40</v>
      </c>
      <c r="AE20" s="1139">
        <v>40</v>
      </c>
      <c r="AF20" s="1141">
        <v>20</v>
      </c>
      <c r="AG20" s="962"/>
      <c r="AH20" s="962"/>
      <c r="AI20" s="1137">
        <f t="shared" si="24"/>
        <v>0</v>
      </c>
      <c r="AJ20" s="1138"/>
      <c r="AK20" s="1139">
        <f t="shared" si="25"/>
        <v>0</v>
      </c>
      <c r="AL20" s="1139">
        <f t="shared" si="26"/>
        <v>0</v>
      </c>
      <c r="AM20" s="1140">
        <f t="shared" si="27"/>
        <v>0</v>
      </c>
      <c r="AN20" s="1139">
        <v>40</v>
      </c>
      <c r="AO20" s="1139">
        <v>40</v>
      </c>
      <c r="AP20" s="1141">
        <v>20</v>
      </c>
    </row>
    <row r="21" spans="1:42" ht="13.5" customHeight="1">
      <c r="A21" s="998">
        <v>71101</v>
      </c>
      <c r="B21" s="930" t="str">
        <f>IF('Llog_ardhurave 2022-2024'!B72=0,CONCATENATE(" "),CONCATENATE("Të ardhura nga"," ",'Llog_ardhurave 2022-2024'!B72))</f>
        <v>Të ardhura nga Libreza Diplloma etj.</v>
      </c>
      <c r="C21" s="930"/>
      <c r="D21" s="1125">
        <f>'Llog_ardhurave 2022-2024'!F72</f>
        <v>0</v>
      </c>
      <c r="E21" s="1129">
        <f>'Llog_ardhurave 2022-2024'!I72</f>
        <v>0</v>
      </c>
      <c r="F21" s="1125">
        <f t="shared" si="14"/>
        <v>0</v>
      </c>
      <c r="G21" s="1125">
        <f t="shared" si="0"/>
        <v>0</v>
      </c>
      <c r="H21" s="1125">
        <f>'Llog_ardhurave 2022-2024'!L72</f>
        <v>0</v>
      </c>
      <c r="I21" s="1125">
        <f>PRODUCT(H21*'Llog_ardhurave 2022-2024'!C72)</f>
        <v>0</v>
      </c>
      <c r="J21" s="1125">
        <f t="shared" si="1"/>
        <v>0</v>
      </c>
      <c r="K21" s="1125">
        <f>'Llog_ardhurave 2022-2024'!O72</f>
        <v>0</v>
      </c>
      <c r="L21" s="1128">
        <f>'Llog_ardhurave 2022-2024'!R72</f>
        <v>0</v>
      </c>
      <c r="M21" s="929"/>
      <c r="N21" s="929"/>
      <c r="O21" s="1137">
        <f t="shared" si="31"/>
        <v>0</v>
      </c>
      <c r="P21" s="1138"/>
      <c r="Q21" s="1139">
        <f t="shared" si="17"/>
        <v>0</v>
      </c>
      <c r="R21" s="1139">
        <f t="shared" si="18"/>
        <v>0</v>
      </c>
      <c r="S21" s="1140">
        <f t="shared" si="19"/>
        <v>0</v>
      </c>
      <c r="T21" s="1139">
        <v>40</v>
      </c>
      <c r="U21" s="1139">
        <v>40</v>
      </c>
      <c r="V21" s="1141">
        <v>20</v>
      </c>
      <c r="W21" s="962"/>
      <c r="X21" s="962"/>
      <c r="Y21" s="1137">
        <f t="shared" si="20"/>
        <v>0</v>
      </c>
      <c r="Z21" s="1138"/>
      <c r="AA21" s="1139">
        <f t="shared" si="21"/>
        <v>0</v>
      </c>
      <c r="AB21" s="1139">
        <f t="shared" si="22"/>
        <v>0</v>
      </c>
      <c r="AC21" s="1140">
        <f t="shared" si="23"/>
        <v>0</v>
      </c>
      <c r="AD21" s="1139">
        <v>40</v>
      </c>
      <c r="AE21" s="1139">
        <v>40</v>
      </c>
      <c r="AF21" s="1141">
        <v>20</v>
      </c>
      <c r="AG21" s="962"/>
      <c r="AH21" s="962"/>
      <c r="AI21" s="1137">
        <f t="shared" si="24"/>
        <v>0</v>
      </c>
      <c r="AJ21" s="1138"/>
      <c r="AK21" s="1139">
        <f t="shared" si="25"/>
        <v>0</v>
      </c>
      <c r="AL21" s="1139">
        <f t="shared" si="26"/>
        <v>0</v>
      </c>
      <c r="AM21" s="1140">
        <f t="shared" si="27"/>
        <v>0</v>
      </c>
      <c r="AN21" s="1139">
        <v>40</v>
      </c>
      <c r="AO21" s="1139">
        <v>40</v>
      </c>
      <c r="AP21" s="1141">
        <v>20</v>
      </c>
    </row>
    <row r="22" spans="1:42" ht="13.5" customHeight="1">
      <c r="A22" s="998">
        <v>71101</v>
      </c>
      <c r="B22" s="930" t="str">
        <f>IF('Llog_ardhurave 2022-2024'!B73=0,CONCATENATE(" "),CONCATENATE("Të ardhura nga"," ",'Llog_ardhurave 2022-2024'!B73))</f>
        <v>Të ardhura nga Fotokopje, vërtetime ,etj.</v>
      </c>
      <c r="C22" s="930"/>
      <c r="D22" s="1125">
        <f>'Llog_ardhurave 2022-2024'!F73</f>
        <v>0</v>
      </c>
      <c r="E22" s="1129">
        <f>'Llog_ardhurave 2022-2024'!I73</f>
        <v>0</v>
      </c>
      <c r="F22" s="1125">
        <f t="shared" si="14"/>
        <v>0</v>
      </c>
      <c r="G22" s="1125">
        <f t="shared" si="0"/>
        <v>0</v>
      </c>
      <c r="H22" s="1125">
        <f>'Llog_ardhurave 2022-2024'!L73</f>
        <v>0</v>
      </c>
      <c r="I22" s="1125">
        <f>PRODUCT(H22*'Llog_ardhurave 2022-2024'!C73)</f>
        <v>0</v>
      </c>
      <c r="J22" s="1125">
        <f t="shared" si="1"/>
        <v>0</v>
      </c>
      <c r="K22" s="1125">
        <f>'Llog_ardhurave 2022-2024'!O73</f>
        <v>0</v>
      </c>
      <c r="L22" s="1128">
        <f>'Llog_ardhurave 2022-2024'!R73</f>
        <v>0</v>
      </c>
      <c r="M22" s="929"/>
      <c r="N22" s="929"/>
      <c r="O22" s="1137">
        <f t="shared" si="31"/>
        <v>0</v>
      </c>
      <c r="P22" s="1138"/>
      <c r="Q22" s="1139">
        <f t="shared" si="17"/>
        <v>0</v>
      </c>
      <c r="R22" s="1139">
        <f t="shared" si="18"/>
        <v>0</v>
      </c>
      <c r="S22" s="1140">
        <f t="shared" si="19"/>
        <v>0</v>
      </c>
      <c r="T22" s="1139">
        <v>40</v>
      </c>
      <c r="U22" s="1139">
        <v>40</v>
      </c>
      <c r="V22" s="1141">
        <v>20</v>
      </c>
      <c r="W22" s="962"/>
      <c r="X22" s="962"/>
      <c r="Y22" s="1137">
        <f t="shared" si="20"/>
        <v>0</v>
      </c>
      <c r="Z22" s="1138"/>
      <c r="AA22" s="1139">
        <f t="shared" si="21"/>
        <v>0</v>
      </c>
      <c r="AB22" s="1139">
        <f t="shared" si="22"/>
        <v>0</v>
      </c>
      <c r="AC22" s="1140">
        <f t="shared" si="23"/>
        <v>0</v>
      </c>
      <c r="AD22" s="1139">
        <v>40</v>
      </c>
      <c r="AE22" s="1139">
        <v>40</v>
      </c>
      <c r="AF22" s="1141">
        <v>20</v>
      </c>
      <c r="AG22" s="962"/>
      <c r="AH22" s="962"/>
      <c r="AI22" s="1137">
        <f t="shared" si="24"/>
        <v>0</v>
      </c>
      <c r="AJ22" s="1138"/>
      <c r="AK22" s="1139">
        <f t="shared" si="25"/>
        <v>0</v>
      </c>
      <c r="AL22" s="1139">
        <f t="shared" si="26"/>
        <v>0</v>
      </c>
      <c r="AM22" s="1140">
        <f t="shared" si="27"/>
        <v>0</v>
      </c>
      <c r="AN22" s="1139">
        <v>40</v>
      </c>
      <c r="AO22" s="1139">
        <v>40</v>
      </c>
      <c r="AP22" s="1141">
        <v>20</v>
      </c>
    </row>
    <row r="23" spans="1:42" ht="13.5" customHeight="1">
      <c r="A23" s="998">
        <v>71101</v>
      </c>
      <c r="B23" s="932" t="str">
        <f>IF('Llog_ardhurave 2022-2024'!B74=0,CONCATENATE(" "),CONCATENATE("Të ardhura nga"," ",'Llog_ardhurave 2022-2024'!B74))</f>
        <v>Të ardhura nga Taksë regjstrimi në Universitet</v>
      </c>
      <c r="C23" s="932"/>
      <c r="D23" s="1125">
        <f>'Llog_ardhurave 2022-2024'!F77</f>
        <v>0</v>
      </c>
      <c r="E23" s="1129">
        <f>'Llog_ardhurave 2022-2024'!I77</f>
        <v>0</v>
      </c>
      <c r="F23" s="1125">
        <f t="shared" si="14"/>
        <v>0</v>
      </c>
      <c r="G23" s="1125">
        <f t="shared" si="0"/>
        <v>0</v>
      </c>
      <c r="H23" s="1125">
        <f>'Llog_ardhurave 2022-2024'!L77</f>
        <v>0</v>
      </c>
      <c r="I23" s="1125">
        <f>PRODUCT(H23*'Llog_ardhurave 2022-2024'!C74)</f>
        <v>0</v>
      </c>
      <c r="J23" s="1125">
        <f t="shared" si="1"/>
        <v>0</v>
      </c>
      <c r="K23" s="1125">
        <f>'Llog_ardhurave 2022-2024'!O77</f>
        <v>0</v>
      </c>
      <c r="L23" s="1128">
        <f>'Llog_ardhurave 2022-2024'!R77</f>
        <v>0</v>
      </c>
      <c r="M23" s="929"/>
      <c r="N23" s="929"/>
      <c r="O23" s="1137">
        <f t="shared" si="31"/>
        <v>0</v>
      </c>
      <c r="P23" s="1138"/>
      <c r="Q23" s="1139">
        <f t="shared" si="17"/>
        <v>0</v>
      </c>
      <c r="R23" s="1139">
        <f t="shared" si="18"/>
        <v>0</v>
      </c>
      <c r="S23" s="1140">
        <f t="shared" si="19"/>
        <v>0</v>
      </c>
      <c r="T23" s="1139">
        <v>40</v>
      </c>
      <c r="U23" s="1139">
        <v>40</v>
      </c>
      <c r="V23" s="1141">
        <v>20</v>
      </c>
      <c r="W23" s="962"/>
      <c r="X23" s="962"/>
      <c r="Y23" s="1137">
        <f t="shared" si="20"/>
        <v>0</v>
      </c>
      <c r="Z23" s="1138"/>
      <c r="AA23" s="1139">
        <f t="shared" si="21"/>
        <v>0</v>
      </c>
      <c r="AB23" s="1139">
        <f t="shared" si="22"/>
        <v>0</v>
      </c>
      <c r="AC23" s="1140">
        <f t="shared" si="23"/>
        <v>0</v>
      </c>
      <c r="AD23" s="1139">
        <v>40</v>
      </c>
      <c r="AE23" s="1139">
        <v>40</v>
      </c>
      <c r="AF23" s="1141">
        <v>20</v>
      </c>
      <c r="AG23" s="962"/>
      <c r="AH23" s="962"/>
      <c r="AI23" s="1137">
        <f t="shared" si="24"/>
        <v>0</v>
      </c>
      <c r="AJ23" s="1138"/>
      <c r="AK23" s="1139">
        <f t="shared" si="25"/>
        <v>0</v>
      </c>
      <c r="AL23" s="1139">
        <f t="shared" si="26"/>
        <v>0</v>
      </c>
      <c r="AM23" s="1140">
        <f t="shared" si="27"/>
        <v>0</v>
      </c>
      <c r="AN23" s="1139">
        <v>40</v>
      </c>
      <c r="AO23" s="1139">
        <v>40</v>
      </c>
      <c r="AP23" s="1141">
        <v>20</v>
      </c>
    </row>
    <row r="24" spans="1:42" ht="13.5" customHeight="1">
      <c r="A24" s="998">
        <v>71101</v>
      </c>
      <c r="B24" s="932" t="str">
        <f>IF('Llog_ardhurave 2022-2024'!B78=0,CONCATENATE(" "),CONCATENATE("Të ardhura nga"," ",'Llog_ardhurave 2022-2024'!B78))</f>
        <v>Të ardhura nga Konkurse</v>
      </c>
      <c r="C24" s="932"/>
      <c r="D24" s="1125">
        <f>'Llog_ardhurave 2022-2024'!F78</f>
        <v>0</v>
      </c>
      <c r="E24" s="1129">
        <f>'Llog_ardhurave 2022-2024'!I78</f>
        <v>0</v>
      </c>
      <c r="F24" s="1125">
        <f>PRODUCT(E24*'Llog_ardhurave 2022-2024'!C78)</f>
        <v>0</v>
      </c>
      <c r="G24" s="1125">
        <f t="shared" si="0"/>
        <v>0</v>
      </c>
      <c r="H24" s="1125">
        <f>'Llog_ardhurave 2022-2024'!L78</f>
        <v>0</v>
      </c>
      <c r="I24" s="1125">
        <f>PRODUCT(H24*'Llog_ardhurave 2022-2024'!C78)</f>
        <v>0</v>
      </c>
      <c r="J24" s="1125">
        <f t="shared" si="1"/>
        <v>0</v>
      </c>
      <c r="K24" s="1125">
        <f>'Llog_ardhurave 2022-2024'!O78</f>
        <v>0</v>
      </c>
      <c r="L24" s="1128">
        <f>'Llog_ardhurave 2022-2024'!R78</f>
        <v>0</v>
      </c>
      <c r="M24" s="929"/>
      <c r="N24" s="933"/>
      <c r="O24" s="1137">
        <f t="shared" si="31"/>
        <v>0</v>
      </c>
      <c r="P24" s="1138"/>
      <c r="Q24" s="1139">
        <f t="shared" si="17"/>
        <v>0</v>
      </c>
      <c r="R24" s="1139">
        <f t="shared" si="18"/>
        <v>0</v>
      </c>
      <c r="S24" s="1140">
        <f t="shared" si="19"/>
        <v>0</v>
      </c>
      <c r="T24" s="1139">
        <v>40</v>
      </c>
      <c r="U24" s="1139">
        <v>40</v>
      </c>
      <c r="V24" s="1141">
        <v>20</v>
      </c>
      <c r="W24" s="962"/>
      <c r="X24" s="962"/>
      <c r="Y24" s="1137">
        <f t="shared" si="20"/>
        <v>0</v>
      </c>
      <c r="Z24" s="1138"/>
      <c r="AA24" s="1139">
        <f t="shared" si="21"/>
        <v>0</v>
      </c>
      <c r="AB24" s="1139">
        <f t="shared" si="22"/>
        <v>0</v>
      </c>
      <c r="AC24" s="1140">
        <f t="shared" si="23"/>
        <v>0</v>
      </c>
      <c r="AD24" s="1139">
        <v>40</v>
      </c>
      <c r="AE24" s="1139">
        <v>40</v>
      </c>
      <c r="AF24" s="1141">
        <v>20</v>
      </c>
      <c r="AG24" s="962"/>
      <c r="AH24" s="962"/>
      <c r="AI24" s="1137">
        <f t="shared" si="24"/>
        <v>0</v>
      </c>
      <c r="AJ24" s="1138"/>
      <c r="AK24" s="1139">
        <f t="shared" si="25"/>
        <v>0</v>
      </c>
      <c r="AL24" s="1139">
        <f t="shared" si="26"/>
        <v>0</v>
      </c>
      <c r="AM24" s="1140">
        <f t="shared" si="27"/>
        <v>0</v>
      </c>
      <c r="AN24" s="1139">
        <v>40</v>
      </c>
      <c r="AO24" s="1139">
        <v>40</v>
      </c>
      <c r="AP24" s="1141">
        <v>20</v>
      </c>
    </row>
    <row r="25" spans="1:42" ht="13.5" customHeight="1">
      <c r="A25" s="998">
        <v>71130</v>
      </c>
      <c r="B25" s="932" t="str">
        <f>IF('Llog_ardhurave 2022-2024'!B79=0,CONCATENATE(" "),CONCATENATE("Të ardhura nga"," ",'Llog_ardhurave 2022-2024'!B79))</f>
        <v>Të ardhura nga Të ardhura nga biletat</v>
      </c>
      <c r="C25" s="932"/>
      <c r="D25" s="1129">
        <f>'Llog_ardhurave 2022-2024'!F79</f>
        <v>0</v>
      </c>
      <c r="E25" s="1129">
        <f>'Llog_ardhurave 2022-2024'!I79</f>
        <v>0</v>
      </c>
      <c r="F25" s="1125">
        <f>PRODUCT(E25*'Llog_ardhurave 2022-2024'!C79)</f>
        <v>0</v>
      </c>
      <c r="G25" s="1125">
        <f t="shared" si="0"/>
        <v>0</v>
      </c>
      <c r="H25" s="1125">
        <f>'Llog_ardhurave 2022-2024'!L79</f>
        <v>0</v>
      </c>
      <c r="I25" s="1125">
        <f>PRODUCT(H25*'Llog_ardhurave 2022-2024'!C79)</f>
        <v>0</v>
      </c>
      <c r="J25" s="1125">
        <f t="shared" si="1"/>
        <v>0</v>
      </c>
      <c r="K25" s="1125">
        <f>'Llog_ardhurave 2022-2024'!O79</f>
        <v>0</v>
      </c>
      <c r="L25" s="1128">
        <f>'Llog_ardhurave 2022-2024'!R79</f>
        <v>0</v>
      </c>
      <c r="M25" s="929"/>
      <c r="N25" s="929"/>
      <c r="O25" s="1137">
        <f t="shared" si="31"/>
        <v>0</v>
      </c>
      <c r="P25" s="1138"/>
      <c r="Q25" s="1140">
        <f t="shared" si="17"/>
        <v>0</v>
      </c>
      <c r="R25" s="1140">
        <f t="shared" si="18"/>
        <v>0</v>
      </c>
      <c r="S25" s="1140">
        <f t="shared" si="19"/>
        <v>0</v>
      </c>
      <c r="T25" s="1140">
        <v>40</v>
      </c>
      <c r="U25" s="1140">
        <v>40</v>
      </c>
      <c r="V25" s="1141">
        <v>20</v>
      </c>
      <c r="W25" s="962"/>
      <c r="X25" s="962"/>
      <c r="Y25" s="1137">
        <f t="shared" si="20"/>
        <v>0</v>
      </c>
      <c r="Z25" s="1138"/>
      <c r="AA25" s="1140">
        <f t="shared" si="21"/>
        <v>0</v>
      </c>
      <c r="AB25" s="1140">
        <f t="shared" si="22"/>
        <v>0</v>
      </c>
      <c r="AC25" s="1140">
        <f t="shared" si="23"/>
        <v>0</v>
      </c>
      <c r="AD25" s="1140">
        <v>40</v>
      </c>
      <c r="AE25" s="1140">
        <v>40</v>
      </c>
      <c r="AF25" s="1141">
        <v>20</v>
      </c>
      <c r="AG25" s="962"/>
      <c r="AH25" s="962"/>
      <c r="AI25" s="1137">
        <f t="shared" si="24"/>
        <v>0</v>
      </c>
      <c r="AJ25" s="1138"/>
      <c r="AK25" s="1140">
        <f t="shared" si="25"/>
        <v>0</v>
      </c>
      <c r="AL25" s="1140">
        <f t="shared" si="26"/>
        <v>0</v>
      </c>
      <c r="AM25" s="1140">
        <f t="shared" si="27"/>
        <v>0</v>
      </c>
      <c r="AN25" s="1140">
        <v>40</v>
      </c>
      <c r="AO25" s="1140">
        <v>40</v>
      </c>
      <c r="AP25" s="1141">
        <v>20</v>
      </c>
    </row>
    <row r="26" spans="1:42" ht="13.5" customHeight="1">
      <c r="A26" s="998">
        <v>71101</v>
      </c>
      <c r="B26" s="932" t="str">
        <f>IF('Llog_ardhurave 2022-2024'!B80=0,CONCATENATE(" "),CONCATENATE("Të ardhura nga"," ",'Llog_ardhurave 2022-2024'!B80))</f>
        <v xml:space="preserve">Të ardhura nga Shitja e sportistëve </v>
      </c>
      <c r="C26" s="932"/>
      <c r="D26" s="1129">
        <f>'Llog_ardhurave 2022-2024'!F80</f>
        <v>0</v>
      </c>
      <c r="E26" s="1129">
        <f>'Llog_ardhurave 2022-2024'!I80</f>
        <v>0</v>
      </c>
      <c r="F26" s="1125">
        <f>PRODUCT(E26*'Llog_ardhurave 2022-2024'!C80)</f>
        <v>0</v>
      </c>
      <c r="G26" s="1125">
        <f t="shared" si="0"/>
        <v>0</v>
      </c>
      <c r="H26" s="1125">
        <f>'Llog_ardhurave 2022-2024'!L80</f>
        <v>0</v>
      </c>
      <c r="I26" s="1125">
        <f>PRODUCT(H26*'Llog_ardhurave 2022-2024'!C80)</f>
        <v>0</v>
      </c>
      <c r="J26" s="1125">
        <f t="shared" si="1"/>
        <v>0</v>
      </c>
      <c r="K26" s="1125">
        <f>'Llog_ardhurave 2022-2024'!O80</f>
        <v>0</v>
      </c>
      <c r="L26" s="1128">
        <f>'Llog_ardhurave 2022-2024'!R80</f>
        <v>0</v>
      </c>
      <c r="M26" s="929"/>
      <c r="N26" s="929"/>
      <c r="O26" s="1137">
        <f t="shared" si="31"/>
        <v>0</v>
      </c>
      <c r="P26" s="1138"/>
      <c r="Q26" s="1140">
        <f t="shared" si="17"/>
        <v>0</v>
      </c>
      <c r="R26" s="1140">
        <f t="shared" si="18"/>
        <v>0</v>
      </c>
      <c r="S26" s="1140">
        <f t="shared" si="19"/>
        <v>0</v>
      </c>
      <c r="T26" s="1140">
        <v>40</v>
      </c>
      <c r="U26" s="1140">
        <v>40</v>
      </c>
      <c r="V26" s="1141">
        <v>20</v>
      </c>
      <c r="W26" s="962"/>
      <c r="X26" s="962"/>
      <c r="Y26" s="1137">
        <f t="shared" si="20"/>
        <v>0</v>
      </c>
      <c r="Z26" s="1138"/>
      <c r="AA26" s="1140">
        <f t="shared" si="21"/>
        <v>0</v>
      </c>
      <c r="AB26" s="1140">
        <f t="shared" si="22"/>
        <v>0</v>
      </c>
      <c r="AC26" s="1140">
        <f t="shared" si="23"/>
        <v>0</v>
      </c>
      <c r="AD26" s="1140">
        <v>40</v>
      </c>
      <c r="AE26" s="1140">
        <v>40</v>
      </c>
      <c r="AF26" s="1141">
        <v>20</v>
      </c>
      <c r="AG26" s="962"/>
      <c r="AH26" s="962"/>
      <c r="AI26" s="1137">
        <f t="shared" si="24"/>
        <v>0</v>
      </c>
      <c r="AJ26" s="1138"/>
      <c r="AK26" s="1140">
        <f t="shared" si="25"/>
        <v>0</v>
      </c>
      <c r="AL26" s="1140">
        <f t="shared" si="26"/>
        <v>0</v>
      </c>
      <c r="AM26" s="1140">
        <f t="shared" si="27"/>
        <v>0</v>
      </c>
      <c r="AN26" s="1140">
        <v>40</v>
      </c>
      <c r="AO26" s="1140">
        <v>40</v>
      </c>
      <c r="AP26" s="1141">
        <v>20</v>
      </c>
    </row>
    <row r="27" spans="1:42" ht="13.5" customHeight="1">
      <c r="A27" s="998">
        <v>71110</v>
      </c>
      <c r="B27" s="932" t="str">
        <f>IF('Llog_ardhurave 2022-2024'!B81=0,CONCATENATE(" "),CONCATENATE("Të ardhura nga"," ",'Llog_ardhurave 2022-2024'!B81))</f>
        <v>Të ardhura nga Të tjera (shërbime)</v>
      </c>
      <c r="C27" s="932"/>
      <c r="D27" s="1129">
        <f>'Llog_ardhurave 2022-2024'!F81</f>
        <v>0</v>
      </c>
      <c r="E27" s="1129">
        <f>'Llog_ardhurave 2022-2024'!I81</f>
        <v>0</v>
      </c>
      <c r="F27" s="1125">
        <f>PRODUCT(E27*100%)</f>
        <v>0</v>
      </c>
      <c r="G27" s="1125">
        <f t="shared" si="0"/>
        <v>0</v>
      </c>
      <c r="H27" s="1125">
        <f>'Llog_ardhurave 2022-2024'!L81</f>
        <v>0</v>
      </c>
      <c r="I27" s="1125">
        <f>PRODUCT(H27*'Llog_ardhurave 2022-2024'!C81)</f>
        <v>0</v>
      </c>
      <c r="J27" s="1125">
        <f t="shared" si="1"/>
        <v>0</v>
      </c>
      <c r="K27" s="1125">
        <f>'Llog_ardhurave 2022-2024'!O81</f>
        <v>0</v>
      </c>
      <c r="L27" s="1128">
        <f>'Llog_ardhurave 2022-2024'!R81</f>
        <v>0</v>
      </c>
      <c r="M27" s="929"/>
      <c r="N27" s="929"/>
      <c r="O27" s="1137">
        <f t="shared" si="31"/>
        <v>0</v>
      </c>
      <c r="P27" s="1138"/>
      <c r="Q27" s="1140">
        <f t="shared" si="17"/>
        <v>0</v>
      </c>
      <c r="R27" s="1140">
        <f t="shared" si="18"/>
        <v>0</v>
      </c>
      <c r="S27" s="1140">
        <f t="shared" si="19"/>
        <v>0</v>
      </c>
      <c r="T27" s="1140">
        <v>40</v>
      </c>
      <c r="U27" s="1140">
        <v>40</v>
      </c>
      <c r="V27" s="1141">
        <v>20</v>
      </c>
      <c r="W27" s="962"/>
      <c r="X27" s="962"/>
      <c r="Y27" s="1137">
        <f t="shared" si="20"/>
        <v>0</v>
      </c>
      <c r="Z27" s="1138"/>
      <c r="AA27" s="1140">
        <f t="shared" si="21"/>
        <v>0</v>
      </c>
      <c r="AB27" s="1140">
        <f t="shared" si="22"/>
        <v>0</v>
      </c>
      <c r="AC27" s="1140">
        <f t="shared" si="23"/>
        <v>0</v>
      </c>
      <c r="AD27" s="1140">
        <v>40</v>
      </c>
      <c r="AE27" s="1140">
        <v>40</v>
      </c>
      <c r="AF27" s="1141">
        <v>20</v>
      </c>
      <c r="AG27" s="962"/>
      <c r="AH27" s="962"/>
      <c r="AI27" s="1137">
        <f t="shared" si="24"/>
        <v>0</v>
      </c>
      <c r="AJ27" s="1138"/>
      <c r="AK27" s="1140">
        <f t="shared" si="25"/>
        <v>0</v>
      </c>
      <c r="AL27" s="1140">
        <f t="shared" si="26"/>
        <v>0</v>
      </c>
      <c r="AM27" s="1140">
        <f t="shared" si="27"/>
        <v>0</v>
      </c>
      <c r="AN27" s="1140">
        <v>40</v>
      </c>
      <c r="AO27" s="1140">
        <v>40</v>
      </c>
      <c r="AP27" s="1141">
        <v>20</v>
      </c>
    </row>
    <row r="28" spans="1:42" ht="13.5" customHeight="1">
      <c r="A28" s="998">
        <v>71130</v>
      </c>
      <c r="B28" s="932" t="str">
        <f>IF('Llog_ardhurave 2022-2024'!B82=0,CONCATENATE(" "),CONCATENATE("Të ardhura nga"," ",'Llog_ardhurave 2022-2024'!B82))</f>
        <v>Të ardhura nga Dokumenta tenderi</v>
      </c>
      <c r="C28" s="932"/>
      <c r="D28" s="1129">
        <f>'Llog_ardhurave 2022-2024'!F82</f>
        <v>0</v>
      </c>
      <c r="E28" s="1129">
        <f>'Llog_ardhurave 2022-2024'!I82</f>
        <v>0</v>
      </c>
      <c r="F28" s="1125">
        <f>PRODUCT(E28*30%)</f>
        <v>0</v>
      </c>
      <c r="G28" s="1125">
        <f t="shared" si="0"/>
        <v>0</v>
      </c>
      <c r="H28" s="1125">
        <f>'Llog_ardhurave 2022-2024'!L82</f>
        <v>0</v>
      </c>
      <c r="I28" s="1125">
        <f>PRODUCT(H28*'Llog_ardhurave 2022-2024'!C82)</f>
        <v>0</v>
      </c>
      <c r="J28" s="1125">
        <f t="shared" si="1"/>
        <v>0</v>
      </c>
      <c r="K28" s="1125">
        <f>'Llog_ardhurave 2022-2024'!O82</f>
        <v>0</v>
      </c>
      <c r="L28" s="1128">
        <f>'Llog_ardhurave 2022-2024'!R82</f>
        <v>0</v>
      </c>
      <c r="M28" s="929"/>
      <c r="N28" s="929"/>
      <c r="O28" s="1137">
        <f t="shared" si="31"/>
        <v>0</v>
      </c>
      <c r="P28" s="1138"/>
      <c r="Q28" s="1140">
        <f t="shared" si="17"/>
        <v>0</v>
      </c>
      <c r="R28" s="1140">
        <f t="shared" si="18"/>
        <v>0</v>
      </c>
      <c r="S28" s="1140">
        <f t="shared" si="19"/>
        <v>0</v>
      </c>
      <c r="T28" s="1140">
        <v>40</v>
      </c>
      <c r="U28" s="1140">
        <v>40</v>
      </c>
      <c r="V28" s="1141">
        <v>20</v>
      </c>
      <c r="W28" s="962"/>
      <c r="X28" s="962"/>
      <c r="Y28" s="1137">
        <f t="shared" si="20"/>
        <v>0</v>
      </c>
      <c r="Z28" s="1138"/>
      <c r="AA28" s="1140">
        <f t="shared" si="21"/>
        <v>0</v>
      </c>
      <c r="AB28" s="1140">
        <f t="shared" si="22"/>
        <v>0</v>
      </c>
      <c r="AC28" s="1140">
        <f t="shared" si="23"/>
        <v>0</v>
      </c>
      <c r="AD28" s="1140">
        <v>40</v>
      </c>
      <c r="AE28" s="1140">
        <v>40</v>
      </c>
      <c r="AF28" s="1141">
        <v>20</v>
      </c>
      <c r="AG28" s="962"/>
      <c r="AH28" s="962"/>
      <c r="AI28" s="1137">
        <f t="shared" si="24"/>
        <v>0</v>
      </c>
      <c r="AJ28" s="1138"/>
      <c r="AK28" s="1140">
        <f t="shared" si="25"/>
        <v>0</v>
      </c>
      <c r="AL28" s="1140">
        <f t="shared" si="26"/>
        <v>0</v>
      </c>
      <c r="AM28" s="1140">
        <f t="shared" si="27"/>
        <v>0</v>
      </c>
      <c r="AN28" s="1140">
        <v>40</v>
      </c>
      <c r="AO28" s="1140">
        <v>40</v>
      </c>
      <c r="AP28" s="1141">
        <v>20</v>
      </c>
    </row>
    <row r="29" spans="1:42" ht="13.5" customHeight="1">
      <c r="A29" s="998">
        <v>72070</v>
      </c>
      <c r="B29" s="932" t="str">
        <f>IF('Llog_ardhurave 2022-2024'!B83=0,CONCATENATE(" "),CONCATENATE("Të ardhura nga"," ",'Llog_ardhurave 2022-2024'!B83))</f>
        <v>Të ardhura nga Sponorizime</v>
      </c>
      <c r="C29" s="932"/>
      <c r="D29" s="1129">
        <f>'Llog_ardhurave 2022-2024'!F83</f>
        <v>0</v>
      </c>
      <c r="E29" s="1129">
        <f>'Llog_ardhurave 2022-2024'!I83</f>
        <v>0</v>
      </c>
      <c r="F29" s="1125">
        <f>PRODUCT(E29*'Llog_ardhurave 2022-2024'!C83)</f>
        <v>0</v>
      </c>
      <c r="G29" s="1125">
        <f t="shared" si="0"/>
        <v>0</v>
      </c>
      <c r="H29" s="1125">
        <f>'Llog_ardhurave 2022-2024'!L83</f>
        <v>0</v>
      </c>
      <c r="I29" s="1125">
        <f>PRODUCT(H29*'Llog_ardhurave 2022-2024'!C83)</f>
        <v>0</v>
      </c>
      <c r="J29" s="1125">
        <f t="shared" si="1"/>
        <v>0</v>
      </c>
      <c r="K29" s="1125">
        <f>'Llog_ardhurave 2022-2024'!O83</f>
        <v>0</v>
      </c>
      <c r="L29" s="1128">
        <f>'Llog_ardhurave 2022-2024'!R83</f>
        <v>0</v>
      </c>
      <c r="M29" s="929"/>
      <c r="N29" s="929"/>
      <c r="O29" s="1137"/>
      <c r="P29" s="1138"/>
      <c r="Q29" s="1140"/>
      <c r="R29" s="1140"/>
      <c r="S29" s="1140"/>
      <c r="T29" s="1140"/>
      <c r="U29" s="1140"/>
      <c r="V29" s="1141"/>
      <c r="W29" s="962"/>
      <c r="X29" s="962"/>
      <c r="Y29" s="1137">
        <f t="shared" si="6"/>
        <v>0</v>
      </c>
      <c r="Z29" s="1138"/>
      <c r="AA29" s="1140">
        <f t="shared" ref="AA29:AA39" si="32">PRODUCT(Y29,AD29,0.01)</f>
        <v>0</v>
      </c>
      <c r="AB29" s="1140">
        <f t="shared" ref="AB29:AB39" si="33">PRODUCT(Y29,AE29,0.01)</f>
        <v>0</v>
      </c>
      <c r="AC29" s="1140">
        <f t="shared" ref="AC29:AC39" si="34">PRODUCT(Y29,AF29,0.01)</f>
        <v>0</v>
      </c>
      <c r="AD29" s="1140">
        <v>0</v>
      </c>
      <c r="AE29" s="1140">
        <v>0</v>
      </c>
      <c r="AF29" s="1141">
        <v>0</v>
      </c>
      <c r="AG29" s="962"/>
      <c r="AH29" s="962"/>
      <c r="AI29" s="1137">
        <f t="shared" si="10"/>
        <v>0</v>
      </c>
      <c r="AJ29" s="1138"/>
      <c r="AK29" s="1140">
        <f t="shared" ref="AK29:AK39" si="35">PRODUCT(AI29,AN29,0.01)</f>
        <v>0</v>
      </c>
      <c r="AL29" s="1140">
        <f t="shared" ref="AL29:AL39" si="36">PRODUCT(AI29,AO29,0.01)</f>
        <v>0</v>
      </c>
      <c r="AM29" s="1140">
        <f t="shared" ref="AM29:AM39" si="37">PRODUCT(AI29,AP29,0.01)</f>
        <v>0</v>
      </c>
      <c r="AN29" s="1140">
        <v>0</v>
      </c>
      <c r="AO29" s="1140">
        <v>0</v>
      </c>
      <c r="AP29" s="1141">
        <v>0</v>
      </c>
    </row>
    <row r="30" spans="1:42" ht="13.5" customHeight="1">
      <c r="A30" s="998"/>
      <c r="B30" s="932" t="str">
        <f>IF('Llog_ardhurave 2022-2024'!B84=0,CONCATENATE(" "),CONCATENATE("Të ardhura nga"," ",'Llog_ardhurave 2022-2024'!B84))</f>
        <v>Të ardhura nga TJERA</v>
      </c>
      <c r="C30" s="932"/>
      <c r="D30" s="1129">
        <f>'Llog_ardhurave 2022-2024'!F84</f>
        <v>0</v>
      </c>
      <c r="E30" s="1129">
        <f>'Llog_ardhurave 2022-2024'!I84</f>
        <v>0</v>
      </c>
      <c r="F30" s="1125">
        <f>PRODUCT(E30*'Llog_ardhurave 2022-2024'!C84)</f>
        <v>0</v>
      </c>
      <c r="G30" s="1125">
        <f t="shared" si="0"/>
        <v>0</v>
      </c>
      <c r="H30" s="1125">
        <f>'Llog_ardhurave 2022-2024'!L84</f>
        <v>0</v>
      </c>
      <c r="I30" s="1125">
        <f>PRODUCT(H30*'Llog_ardhurave 2022-2024'!C84)</f>
        <v>0</v>
      </c>
      <c r="J30" s="1125">
        <f t="shared" si="1"/>
        <v>0</v>
      </c>
      <c r="K30" s="1125">
        <f>'Llog_ardhurave 2022-2024'!O84</f>
        <v>0</v>
      </c>
      <c r="L30" s="1128">
        <f>'Llog_ardhurave 2022-2024'!R84</f>
        <v>0</v>
      </c>
      <c r="M30" s="929"/>
      <c r="N30" s="929"/>
      <c r="O30" s="1137"/>
      <c r="P30" s="1138"/>
      <c r="Q30" s="1140"/>
      <c r="R30" s="1140"/>
      <c r="S30" s="1140"/>
      <c r="T30" s="1140"/>
      <c r="U30" s="1140"/>
      <c r="V30" s="1141"/>
      <c r="W30" s="962"/>
      <c r="X30" s="962"/>
      <c r="Y30" s="1137">
        <f t="shared" si="6"/>
        <v>0</v>
      </c>
      <c r="Z30" s="1138"/>
      <c r="AA30" s="1140">
        <f t="shared" si="32"/>
        <v>0</v>
      </c>
      <c r="AB30" s="1140">
        <f t="shared" si="33"/>
        <v>0</v>
      </c>
      <c r="AC30" s="1140">
        <f t="shared" si="34"/>
        <v>0</v>
      </c>
      <c r="AD30" s="1140">
        <v>0</v>
      </c>
      <c r="AE30" s="1140">
        <v>0</v>
      </c>
      <c r="AF30" s="1141">
        <v>0</v>
      </c>
      <c r="AG30" s="962"/>
      <c r="AH30" s="962"/>
      <c r="AI30" s="1137">
        <f t="shared" si="10"/>
        <v>0</v>
      </c>
      <c r="AJ30" s="1138"/>
      <c r="AK30" s="1140">
        <f t="shared" si="35"/>
        <v>0</v>
      </c>
      <c r="AL30" s="1140">
        <f t="shared" si="36"/>
        <v>0</v>
      </c>
      <c r="AM30" s="1140">
        <f t="shared" si="37"/>
        <v>0</v>
      </c>
      <c r="AN30" s="1140">
        <v>0</v>
      </c>
      <c r="AO30" s="1140">
        <v>0</v>
      </c>
      <c r="AP30" s="1141">
        <v>0</v>
      </c>
    </row>
    <row r="31" spans="1:42" ht="13.5" customHeight="1">
      <c r="A31" s="998"/>
      <c r="B31" s="932" t="s">
        <v>1007</v>
      </c>
      <c r="C31" s="932"/>
      <c r="D31" s="1129">
        <f>'Llog_ardhurave 2022-2024'!F85</f>
        <v>0</v>
      </c>
      <c r="E31" s="1129">
        <f>'Llog_ardhurave 2022-2024'!I85</f>
        <v>0</v>
      </c>
      <c r="F31" s="1125">
        <f>PRODUCT(E31*'Llog_ardhurave 2022-2024'!C85)</f>
        <v>0</v>
      </c>
      <c r="G31" s="1125">
        <f t="shared" si="0"/>
        <v>0</v>
      </c>
      <c r="H31" s="1125">
        <f>'Llog_ardhurave 2022-2024'!L85</f>
        <v>0</v>
      </c>
      <c r="I31" s="1125">
        <f>PRODUCT(H31*'Llog_ardhurave 2022-2024'!C85)</f>
        <v>0</v>
      </c>
      <c r="J31" s="1125">
        <f t="shared" si="1"/>
        <v>0</v>
      </c>
      <c r="K31" s="1125">
        <f>'Llog_ardhurave 2022-2024'!O85</f>
        <v>0</v>
      </c>
      <c r="L31" s="1128">
        <f>'Llog_ardhurave 2022-2024'!R85</f>
        <v>0</v>
      </c>
      <c r="M31" s="929"/>
      <c r="N31" s="929"/>
      <c r="O31" s="1137"/>
      <c r="P31" s="1138"/>
      <c r="Q31" s="1140"/>
      <c r="R31" s="1140"/>
      <c r="S31" s="1140"/>
      <c r="T31" s="1140"/>
      <c r="U31" s="1140"/>
      <c r="V31" s="1141"/>
      <c r="W31" s="962"/>
      <c r="X31" s="962"/>
      <c r="Y31" s="1137">
        <f t="shared" si="6"/>
        <v>0</v>
      </c>
      <c r="Z31" s="1138"/>
      <c r="AA31" s="1140">
        <f t="shared" si="32"/>
        <v>0</v>
      </c>
      <c r="AB31" s="1140">
        <f t="shared" si="33"/>
        <v>0</v>
      </c>
      <c r="AC31" s="1140">
        <f t="shared" si="34"/>
        <v>0</v>
      </c>
      <c r="AD31" s="1140">
        <v>0</v>
      </c>
      <c r="AE31" s="1140">
        <v>0</v>
      </c>
      <c r="AF31" s="1141">
        <v>0</v>
      </c>
      <c r="AG31" s="962"/>
      <c r="AH31" s="962"/>
      <c r="AI31" s="1137">
        <f t="shared" si="10"/>
        <v>0</v>
      </c>
      <c r="AJ31" s="1138"/>
      <c r="AK31" s="1140">
        <f t="shared" si="35"/>
        <v>0</v>
      </c>
      <c r="AL31" s="1140">
        <f t="shared" si="36"/>
        <v>0</v>
      </c>
      <c r="AM31" s="1140">
        <f t="shared" si="37"/>
        <v>0</v>
      </c>
      <c r="AN31" s="1140">
        <v>0</v>
      </c>
      <c r="AO31" s="1140">
        <v>0</v>
      </c>
      <c r="AP31" s="1141">
        <v>0</v>
      </c>
    </row>
    <row r="32" spans="1:42" ht="13.5" customHeight="1">
      <c r="A32" s="998"/>
      <c r="B32" s="932" t="str">
        <f>IF('Llog_ardhurave 2022-2024'!B86=0,CONCATENATE(" "),CONCATENATE("Të ardhura nga"," ",'Llog_ardhurave 2022-2024'!B86))</f>
        <v xml:space="preserve"> </v>
      </c>
      <c r="C32" s="932"/>
      <c r="D32" s="1129">
        <f>'Llog_ardhurave 2022-2024'!F86</f>
        <v>0</v>
      </c>
      <c r="E32" s="1129">
        <f>'Llog_ardhurave 2022-2024'!I86</f>
        <v>0</v>
      </c>
      <c r="F32" s="1125">
        <f>PRODUCT(E32*'Llog_ardhurave 2022-2024'!C86)</f>
        <v>0</v>
      </c>
      <c r="G32" s="1125">
        <f t="shared" si="0"/>
        <v>0</v>
      </c>
      <c r="H32" s="1125">
        <f>'Llog_ardhurave 2022-2024'!L86</f>
        <v>0</v>
      </c>
      <c r="I32" s="1125">
        <f>PRODUCT(H32*'Llog_ardhurave 2022-2024'!C86)</f>
        <v>0</v>
      </c>
      <c r="J32" s="1125">
        <f t="shared" si="1"/>
        <v>0</v>
      </c>
      <c r="K32" s="1125">
        <f>'Llog_ardhurave 2022-2024'!O86</f>
        <v>0</v>
      </c>
      <c r="L32" s="1128">
        <f>'Llog_ardhurave 2022-2024'!R86</f>
        <v>0</v>
      </c>
      <c r="M32" s="929"/>
      <c r="N32" s="929"/>
      <c r="O32" s="1137"/>
      <c r="P32" s="1138"/>
      <c r="Q32" s="1140"/>
      <c r="R32" s="1140"/>
      <c r="S32" s="1140"/>
      <c r="T32" s="1140"/>
      <c r="U32" s="1140"/>
      <c r="V32" s="1141"/>
      <c r="W32" s="962"/>
      <c r="X32" s="962"/>
      <c r="Y32" s="1137">
        <f t="shared" si="6"/>
        <v>0</v>
      </c>
      <c r="Z32" s="1138"/>
      <c r="AA32" s="1140">
        <f t="shared" si="32"/>
        <v>0</v>
      </c>
      <c r="AB32" s="1140">
        <f t="shared" si="33"/>
        <v>0</v>
      </c>
      <c r="AC32" s="1140">
        <f t="shared" si="34"/>
        <v>0</v>
      </c>
      <c r="AD32" s="1140">
        <v>0</v>
      </c>
      <c r="AE32" s="1140">
        <v>0</v>
      </c>
      <c r="AF32" s="1141">
        <v>0</v>
      </c>
      <c r="AG32" s="962"/>
      <c r="AH32" s="962"/>
      <c r="AI32" s="1137">
        <f t="shared" si="10"/>
        <v>0</v>
      </c>
      <c r="AJ32" s="1138"/>
      <c r="AK32" s="1140">
        <f t="shared" si="35"/>
        <v>0</v>
      </c>
      <c r="AL32" s="1140">
        <f t="shared" si="36"/>
        <v>0</v>
      </c>
      <c r="AM32" s="1140">
        <f t="shared" si="37"/>
        <v>0</v>
      </c>
      <c r="AN32" s="1140">
        <v>0</v>
      </c>
      <c r="AO32" s="1140">
        <v>0</v>
      </c>
      <c r="AP32" s="1141">
        <v>0</v>
      </c>
    </row>
    <row r="33" spans="1:42" ht="13.5" customHeight="1">
      <c r="A33" s="998"/>
      <c r="B33" s="932" t="str">
        <f>IF('Llog_ardhurave 2022-2024'!B87=0,CONCATENATE(" "),CONCATENATE("Të ardhura nga"," ",'Llog_ardhurave 2022-2024'!B87))</f>
        <v xml:space="preserve"> </v>
      </c>
      <c r="C33" s="932"/>
      <c r="D33" s="1129">
        <f>'Llog_ardhurave 2022-2024'!F87</f>
        <v>0</v>
      </c>
      <c r="E33" s="1129">
        <f>'Llog_ardhurave 2022-2024'!I87</f>
        <v>0</v>
      </c>
      <c r="F33" s="1125">
        <f>PRODUCT(E33*'Llog_ardhurave 2022-2024'!C87)</f>
        <v>0</v>
      </c>
      <c r="G33" s="1125">
        <f t="shared" si="0"/>
        <v>0</v>
      </c>
      <c r="H33" s="1125">
        <f>'Llog_ardhurave 2022-2024'!L87</f>
        <v>0</v>
      </c>
      <c r="I33" s="1125">
        <f>PRODUCT(H33*'Llog_ardhurave 2022-2024'!C87)</f>
        <v>0</v>
      </c>
      <c r="J33" s="1125">
        <f t="shared" si="1"/>
        <v>0</v>
      </c>
      <c r="K33" s="1125">
        <f>'Llog_ardhurave 2022-2024'!O87</f>
        <v>0</v>
      </c>
      <c r="L33" s="1128">
        <f>'Llog_ardhurave 2022-2024'!R87</f>
        <v>0</v>
      </c>
      <c r="M33" s="929"/>
      <c r="N33" s="929"/>
      <c r="O33" s="1137"/>
      <c r="P33" s="1138"/>
      <c r="Q33" s="1140"/>
      <c r="R33" s="1140"/>
      <c r="S33" s="1140"/>
      <c r="T33" s="1140"/>
      <c r="U33" s="1140"/>
      <c r="V33" s="1141"/>
      <c r="W33" s="962"/>
      <c r="X33" s="962"/>
      <c r="Y33" s="1137">
        <f t="shared" si="6"/>
        <v>0</v>
      </c>
      <c r="Z33" s="1138"/>
      <c r="AA33" s="1140">
        <f t="shared" si="32"/>
        <v>0</v>
      </c>
      <c r="AB33" s="1140">
        <f t="shared" si="33"/>
        <v>0</v>
      </c>
      <c r="AC33" s="1140">
        <f t="shared" si="34"/>
        <v>0</v>
      </c>
      <c r="AD33" s="1140">
        <v>0</v>
      </c>
      <c r="AE33" s="1140">
        <v>0</v>
      </c>
      <c r="AF33" s="1141">
        <v>0</v>
      </c>
      <c r="AG33" s="962"/>
      <c r="AH33" s="962"/>
      <c r="AI33" s="1137">
        <f t="shared" si="10"/>
        <v>0</v>
      </c>
      <c r="AJ33" s="1138"/>
      <c r="AK33" s="1140">
        <f t="shared" si="35"/>
        <v>0</v>
      </c>
      <c r="AL33" s="1140">
        <f t="shared" si="36"/>
        <v>0</v>
      </c>
      <c r="AM33" s="1140">
        <f t="shared" si="37"/>
        <v>0</v>
      </c>
      <c r="AN33" s="1140">
        <v>0</v>
      </c>
      <c r="AO33" s="1140">
        <v>0</v>
      </c>
      <c r="AP33" s="1141">
        <v>0</v>
      </c>
    </row>
    <row r="34" spans="1:42" ht="13.5" customHeight="1">
      <c r="A34" s="998"/>
      <c r="B34" s="932" t="str">
        <f>IF('Llog_ardhurave 2022-2024'!B88=0,CONCATENATE(" "),CONCATENATE("Të ardhura nga"," ",'Llog_ardhurave 2022-2024'!B88))</f>
        <v xml:space="preserve"> </v>
      </c>
      <c r="C34" s="932"/>
      <c r="D34" s="1129">
        <f>'Llog_ardhurave 2022-2024'!F88</f>
        <v>0</v>
      </c>
      <c r="E34" s="1129">
        <f>'Llog_ardhurave 2022-2024'!I88</f>
        <v>0</v>
      </c>
      <c r="F34" s="1125">
        <f>PRODUCT(E34*'Llog_ardhurave 2022-2024'!C88)</f>
        <v>0</v>
      </c>
      <c r="G34" s="1125">
        <f t="shared" si="0"/>
        <v>0</v>
      </c>
      <c r="H34" s="1125">
        <f>'Llog_ardhurave 2022-2024'!L88</f>
        <v>0</v>
      </c>
      <c r="I34" s="1125">
        <f>PRODUCT(H34*'Llog_ardhurave 2022-2024'!C88)</f>
        <v>0</v>
      </c>
      <c r="J34" s="1125">
        <f t="shared" si="1"/>
        <v>0</v>
      </c>
      <c r="K34" s="1125">
        <f>'Llog_ardhurave 2022-2024'!O88</f>
        <v>0</v>
      </c>
      <c r="L34" s="1128">
        <f>'Llog_ardhurave 2022-2024'!R88</f>
        <v>0</v>
      </c>
      <c r="M34" s="929"/>
      <c r="N34" s="929"/>
      <c r="O34" s="1137"/>
      <c r="P34" s="1138"/>
      <c r="Q34" s="1140"/>
      <c r="R34" s="1140"/>
      <c r="S34" s="1140"/>
      <c r="T34" s="1140"/>
      <c r="U34" s="1140"/>
      <c r="V34" s="1141"/>
      <c r="W34" s="962"/>
      <c r="X34" s="962"/>
      <c r="Y34" s="1137">
        <f t="shared" si="6"/>
        <v>0</v>
      </c>
      <c r="Z34" s="1138"/>
      <c r="AA34" s="1140">
        <f t="shared" si="32"/>
        <v>0</v>
      </c>
      <c r="AB34" s="1140">
        <f t="shared" si="33"/>
        <v>0</v>
      </c>
      <c r="AC34" s="1140">
        <f t="shared" si="34"/>
        <v>0</v>
      </c>
      <c r="AD34" s="1140">
        <v>0</v>
      </c>
      <c r="AE34" s="1140">
        <v>0</v>
      </c>
      <c r="AF34" s="1141">
        <v>0</v>
      </c>
      <c r="AG34" s="962"/>
      <c r="AH34" s="962"/>
      <c r="AI34" s="1137">
        <f t="shared" si="10"/>
        <v>0</v>
      </c>
      <c r="AJ34" s="1138"/>
      <c r="AK34" s="1140">
        <f t="shared" si="35"/>
        <v>0</v>
      </c>
      <c r="AL34" s="1140">
        <f t="shared" si="36"/>
        <v>0</v>
      </c>
      <c r="AM34" s="1140">
        <f t="shared" si="37"/>
        <v>0</v>
      </c>
      <c r="AN34" s="1140">
        <v>0</v>
      </c>
      <c r="AO34" s="1140">
        <v>0</v>
      </c>
      <c r="AP34" s="1141">
        <v>0</v>
      </c>
    </row>
    <row r="35" spans="1:42" ht="13.5" customHeight="1">
      <c r="A35" s="998"/>
      <c r="B35" s="934"/>
      <c r="C35" s="934"/>
      <c r="D35" s="1125"/>
      <c r="E35" s="1125"/>
      <c r="F35" s="1125"/>
      <c r="G35" s="1125"/>
      <c r="H35" s="1125"/>
      <c r="I35" s="1125"/>
      <c r="J35" s="1125"/>
      <c r="K35" s="1125"/>
      <c r="L35" s="1128"/>
      <c r="M35" s="929"/>
      <c r="N35" s="929"/>
      <c r="O35" s="1137"/>
      <c r="P35" s="1138"/>
      <c r="Q35" s="1140"/>
      <c r="R35" s="1140"/>
      <c r="S35" s="1140"/>
      <c r="T35" s="1140"/>
      <c r="U35" s="1140"/>
      <c r="V35" s="1141"/>
      <c r="W35" s="962"/>
      <c r="X35" s="962"/>
      <c r="Y35" s="1137">
        <f t="shared" si="6"/>
        <v>0</v>
      </c>
      <c r="Z35" s="1138"/>
      <c r="AA35" s="1140">
        <f t="shared" si="32"/>
        <v>0</v>
      </c>
      <c r="AB35" s="1140">
        <f t="shared" si="33"/>
        <v>0</v>
      </c>
      <c r="AC35" s="1140">
        <f t="shared" si="34"/>
        <v>0</v>
      </c>
      <c r="AD35" s="1140">
        <v>0</v>
      </c>
      <c r="AE35" s="1140">
        <v>0</v>
      </c>
      <c r="AF35" s="1141">
        <v>0</v>
      </c>
      <c r="AG35" s="962"/>
      <c r="AH35" s="962"/>
      <c r="AI35" s="1137">
        <f t="shared" si="10"/>
        <v>0</v>
      </c>
      <c r="AJ35" s="1138"/>
      <c r="AK35" s="1140">
        <f t="shared" si="35"/>
        <v>0</v>
      </c>
      <c r="AL35" s="1140">
        <f t="shared" si="36"/>
        <v>0</v>
      </c>
      <c r="AM35" s="1140">
        <f t="shared" si="37"/>
        <v>0</v>
      </c>
      <c r="AN35" s="1140">
        <v>0</v>
      </c>
      <c r="AO35" s="1140">
        <v>0</v>
      </c>
      <c r="AP35" s="1141">
        <v>0</v>
      </c>
    </row>
    <row r="36" spans="1:42" ht="13.5" customHeight="1">
      <c r="A36" s="998"/>
      <c r="B36" s="934"/>
      <c r="C36" s="934"/>
      <c r="D36" s="1125"/>
      <c r="E36" s="1125"/>
      <c r="F36" s="1125"/>
      <c r="G36" s="1125"/>
      <c r="H36" s="1125"/>
      <c r="I36" s="1125"/>
      <c r="J36" s="1125"/>
      <c r="K36" s="1125"/>
      <c r="L36" s="1128"/>
      <c r="M36" s="929"/>
      <c r="N36" s="929"/>
      <c r="O36" s="1137"/>
      <c r="P36" s="1138"/>
      <c r="Q36" s="1140"/>
      <c r="R36" s="1140"/>
      <c r="S36" s="1140"/>
      <c r="T36" s="1140"/>
      <c r="U36" s="1140"/>
      <c r="V36" s="1141"/>
      <c r="W36" s="962"/>
      <c r="X36" s="962"/>
      <c r="Y36" s="1137">
        <f t="shared" si="6"/>
        <v>0</v>
      </c>
      <c r="Z36" s="1138"/>
      <c r="AA36" s="1140">
        <f t="shared" si="32"/>
        <v>0</v>
      </c>
      <c r="AB36" s="1140">
        <f t="shared" si="33"/>
        <v>0</v>
      </c>
      <c r="AC36" s="1140">
        <f t="shared" si="34"/>
        <v>0</v>
      </c>
      <c r="AD36" s="1140">
        <v>0</v>
      </c>
      <c r="AE36" s="1140">
        <v>0</v>
      </c>
      <c r="AF36" s="1141">
        <v>0</v>
      </c>
      <c r="AG36" s="962"/>
      <c r="AH36" s="962"/>
      <c r="AI36" s="1137">
        <f t="shared" si="10"/>
        <v>0</v>
      </c>
      <c r="AJ36" s="1138"/>
      <c r="AK36" s="1140">
        <f t="shared" si="35"/>
        <v>0</v>
      </c>
      <c r="AL36" s="1140">
        <f t="shared" si="36"/>
        <v>0</v>
      </c>
      <c r="AM36" s="1140">
        <f t="shared" si="37"/>
        <v>0</v>
      </c>
      <c r="AN36" s="1140">
        <v>0</v>
      </c>
      <c r="AO36" s="1140">
        <v>0</v>
      </c>
      <c r="AP36" s="1141">
        <v>0</v>
      </c>
    </row>
    <row r="37" spans="1:42" ht="13.5" customHeight="1">
      <c r="A37" s="998"/>
      <c r="B37" s="934"/>
      <c r="C37" s="934"/>
      <c r="D37" s="1125"/>
      <c r="E37" s="1125"/>
      <c r="F37" s="1125"/>
      <c r="G37" s="1125"/>
      <c r="H37" s="1125"/>
      <c r="I37" s="1125"/>
      <c r="J37" s="1125"/>
      <c r="K37" s="1125"/>
      <c r="L37" s="1128"/>
      <c r="M37" s="929"/>
      <c r="N37" s="929"/>
      <c r="O37" s="1137"/>
      <c r="P37" s="1138"/>
      <c r="Q37" s="1140"/>
      <c r="R37" s="1140"/>
      <c r="S37" s="1140"/>
      <c r="T37" s="1140"/>
      <c r="U37" s="1140"/>
      <c r="V37" s="1141"/>
      <c r="W37" s="962"/>
      <c r="X37" s="962"/>
      <c r="Y37" s="1137">
        <f t="shared" si="6"/>
        <v>0</v>
      </c>
      <c r="Z37" s="1138"/>
      <c r="AA37" s="1140">
        <f t="shared" si="32"/>
        <v>0</v>
      </c>
      <c r="AB37" s="1140">
        <f t="shared" si="33"/>
        <v>0</v>
      </c>
      <c r="AC37" s="1140">
        <f t="shared" si="34"/>
        <v>0</v>
      </c>
      <c r="AD37" s="1140">
        <v>0</v>
      </c>
      <c r="AE37" s="1140">
        <v>0</v>
      </c>
      <c r="AF37" s="1141">
        <v>0</v>
      </c>
      <c r="AG37" s="962"/>
      <c r="AH37" s="962"/>
      <c r="AI37" s="1137">
        <f t="shared" si="10"/>
        <v>0</v>
      </c>
      <c r="AJ37" s="1138"/>
      <c r="AK37" s="1140">
        <f t="shared" si="35"/>
        <v>0</v>
      </c>
      <c r="AL37" s="1140">
        <f t="shared" si="36"/>
        <v>0</v>
      </c>
      <c r="AM37" s="1140">
        <f t="shared" si="37"/>
        <v>0</v>
      </c>
      <c r="AN37" s="1140">
        <v>0</v>
      </c>
      <c r="AO37" s="1140">
        <v>0</v>
      </c>
      <c r="AP37" s="1141">
        <v>0</v>
      </c>
    </row>
    <row r="38" spans="1:42" ht="13.5" customHeight="1">
      <c r="A38" s="998"/>
      <c r="B38" s="934"/>
      <c r="C38" s="934"/>
      <c r="D38" s="1125"/>
      <c r="E38" s="1125"/>
      <c r="F38" s="1125"/>
      <c r="G38" s="1125"/>
      <c r="H38" s="1125"/>
      <c r="I38" s="1125"/>
      <c r="J38" s="1125"/>
      <c r="K38" s="1125"/>
      <c r="L38" s="1128"/>
      <c r="M38" s="929"/>
      <c r="N38" s="929"/>
      <c r="O38" s="1137"/>
      <c r="P38" s="1138"/>
      <c r="Q38" s="1140"/>
      <c r="R38" s="1140"/>
      <c r="S38" s="1140"/>
      <c r="T38" s="1140"/>
      <c r="U38" s="1140"/>
      <c r="V38" s="1141"/>
      <c r="W38" s="962"/>
      <c r="X38" s="962"/>
      <c r="Y38" s="1137">
        <f t="shared" si="6"/>
        <v>0</v>
      </c>
      <c r="Z38" s="1138"/>
      <c r="AA38" s="1140">
        <f t="shared" si="32"/>
        <v>0</v>
      </c>
      <c r="AB38" s="1140">
        <f t="shared" si="33"/>
        <v>0</v>
      </c>
      <c r="AC38" s="1140">
        <f t="shared" si="34"/>
        <v>0</v>
      </c>
      <c r="AD38" s="1140">
        <v>0</v>
      </c>
      <c r="AE38" s="1140">
        <v>0</v>
      </c>
      <c r="AF38" s="1141">
        <v>0</v>
      </c>
      <c r="AG38" s="962"/>
      <c r="AH38" s="962"/>
      <c r="AI38" s="1137">
        <f t="shared" si="10"/>
        <v>0</v>
      </c>
      <c r="AJ38" s="1138"/>
      <c r="AK38" s="1140">
        <f t="shared" si="35"/>
        <v>0</v>
      </c>
      <c r="AL38" s="1140">
        <f t="shared" si="36"/>
        <v>0</v>
      </c>
      <c r="AM38" s="1140">
        <f t="shared" si="37"/>
        <v>0</v>
      </c>
      <c r="AN38" s="1140">
        <v>0</v>
      </c>
      <c r="AO38" s="1140">
        <v>0</v>
      </c>
      <c r="AP38" s="1141">
        <v>0</v>
      </c>
    </row>
    <row r="39" spans="1:42" ht="13.5" customHeight="1">
      <c r="A39" s="998"/>
      <c r="B39" s="934"/>
      <c r="C39" s="934"/>
      <c r="D39" s="1125"/>
      <c r="E39" s="1125"/>
      <c r="F39" s="1125"/>
      <c r="G39" s="1125"/>
      <c r="H39" s="1125"/>
      <c r="I39" s="1125"/>
      <c r="J39" s="1125"/>
      <c r="K39" s="1125"/>
      <c r="L39" s="1128"/>
      <c r="M39" s="929"/>
      <c r="N39" s="929"/>
      <c r="O39" s="1137"/>
      <c r="P39" s="1138"/>
      <c r="Q39" s="1140"/>
      <c r="R39" s="1140"/>
      <c r="S39" s="1140"/>
      <c r="T39" s="1140"/>
      <c r="U39" s="1140"/>
      <c r="V39" s="1141"/>
      <c r="W39" s="962"/>
      <c r="X39" s="962"/>
      <c r="Y39" s="1137">
        <f t="shared" si="6"/>
        <v>0</v>
      </c>
      <c r="Z39" s="1138"/>
      <c r="AA39" s="1140">
        <f t="shared" si="32"/>
        <v>0</v>
      </c>
      <c r="AB39" s="1140">
        <f t="shared" si="33"/>
        <v>0</v>
      </c>
      <c r="AC39" s="1140">
        <f t="shared" si="34"/>
        <v>0</v>
      </c>
      <c r="AD39" s="1140">
        <v>0</v>
      </c>
      <c r="AE39" s="1140">
        <v>0</v>
      </c>
      <c r="AF39" s="1141">
        <v>0</v>
      </c>
      <c r="AG39" s="962"/>
      <c r="AH39" s="962"/>
      <c r="AI39" s="1137">
        <f t="shared" si="10"/>
        <v>0</v>
      </c>
      <c r="AJ39" s="1138"/>
      <c r="AK39" s="1140">
        <f t="shared" si="35"/>
        <v>0</v>
      </c>
      <c r="AL39" s="1140">
        <f t="shared" si="36"/>
        <v>0</v>
      </c>
      <c r="AM39" s="1140">
        <f t="shared" si="37"/>
        <v>0</v>
      </c>
      <c r="AN39" s="1140">
        <v>0</v>
      </c>
      <c r="AO39" s="1140">
        <v>0</v>
      </c>
      <c r="AP39" s="1141">
        <v>0</v>
      </c>
    </row>
    <row r="40" spans="1:42" ht="13.5" customHeight="1" thickBot="1">
      <c r="A40" s="999"/>
      <c r="B40" s="1000" t="s">
        <v>8</v>
      </c>
      <c r="C40" s="1000"/>
      <c r="D40" s="1131">
        <f t="shared" ref="D40:L40" si="38">SUM(D13:D39)</f>
        <v>0</v>
      </c>
      <c r="E40" s="1131">
        <f t="shared" si="38"/>
        <v>0</v>
      </c>
      <c r="F40" s="1131">
        <f t="shared" si="38"/>
        <v>0</v>
      </c>
      <c r="G40" s="1131">
        <f t="shared" si="38"/>
        <v>0</v>
      </c>
      <c r="H40" s="1131">
        <f t="shared" si="38"/>
        <v>0</v>
      </c>
      <c r="I40" s="1131">
        <f t="shared" si="38"/>
        <v>0</v>
      </c>
      <c r="J40" s="1131">
        <f t="shared" si="38"/>
        <v>0</v>
      </c>
      <c r="K40" s="1131">
        <f t="shared" si="38"/>
        <v>0</v>
      </c>
      <c r="L40" s="1132">
        <f t="shared" si="38"/>
        <v>0</v>
      </c>
      <c r="M40" s="929"/>
      <c r="N40" s="929"/>
      <c r="O40" s="1142">
        <f>SUM(O13:O39)</f>
        <v>0</v>
      </c>
      <c r="P40" s="1142">
        <f>SUM(P13:P39)</f>
        <v>0</v>
      </c>
      <c r="Q40" s="1143">
        <f>SUM(Q13:Q39)</f>
        <v>0</v>
      </c>
      <c r="R40" s="1143">
        <f>SUM(R13:R39)</f>
        <v>0</v>
      </c>
      <c r="S40" s="1143">
        <f>SUM(S13:S39)</f>
        <v>0</v>
      </c>
      <c r="T40" s="1144"/>
      <c r="U40" s="1144"/>
      <c r="V40" s="1145"/>
      <c r="W40" s="962"/>
      <c r="X40" s="962"/>
      <c r="Y40" s="1142">
        <f>SUM(Y13:Y39)</f>
        <v>0</v>
      </c>
      <c r="Z40" s="1142">
        <f>SUM(Z13:Z39)</f>
        <v>0</v>
      </c>
      <c r="AA40" s="1143">
        <f>SUM(AA13:AA39)</f>
        <v>0</v>
      </c>
      <c r="AB40" s="1143">
        <f>SUM(AB13:AB39)</f>
        <v>0</v>
      </c>
      <c r="AC40" s="1143">
        <f>SUM(AC13:AC39)</f>
        <v>0</v>
      </c>
      <c r="AD40" s="1144"/>
      <c r="AE40" s="1144"/>
      <c r="AF40" s="1145"/>
      <c r="AG40" s="962"/>
      <c r="AH40" s="962"/>
      <c r="AI40" s="1142">
        <f>SUM(AI13:AI39)</f>
        <v>0</v>
      </c>
      <c r="AJ40" s="1142">
        <f>SUM(AJ13:AJ39)</f>
        <v>0</v>
      </c>
      <c r="AK40" s="1143">
        <f>SUM(AK13:AK39)</f>
        <v>0</v>
      </c>
      <c r="AL40" s="1143">
        <f>SUM(AL13:AL39)</f>
        <v>0</v>
      </c>
      <c r="AM40" s="1143">
        <f>SUM(AM13:AM39)</f>
        <v>0</v>
      </c>
      <c r="AN40" s="1144"/>
      <c r="AO40" s="1144"/>
      <c r="AP40" s="1145"/>
    </row>
    <row r="41" spans="1:42">
      <c r="H41" s="937"/>
    </row>
    <row r="42" spans="1:42" ht="15.75">
      <c r="D42" s="960"/>
      <c r="E42" s="935"/>
      <c r="F42" s="935"/>
      <c r="G42" s="936"/>
      <c r="H42" s="936"/>
      <c r="J42" s="1621" t="str">
        <f>CONCATENATE('Te dhena fillesat 2022'!B6)</f>
        <v/>
      </c>
      <c r="K42" s="1621"/>
    </row>
    <row r="43" spans="1:42">
      <c r="B43" s="1635" t="s">
        <v>146</v>
      </c>
      <c r="C43" s="172" t="s">
        <v>144</v>
      </c>
      <c r="D43" s="1102" t="s">
        <v>1044</v>
      </c>
      <c r="E43" s="174"/>
      <c r="F43" s="83"/>
      <c r="G43" s="1638" t="s">
        <v>240</v>
      </c>
      <c r="H43" s="172" t="s">
        <v>144</v>
      </c>
      <c r="I43" s="1102" t="s">
        <v>1045</v>
      </c>
      <c r="J43" s="1068"/>
      <c r="K43" s="81"/>
    </row>
    <row r="44" spans="1:42">
      <c r="B44" s="1636"/>
      <c r="C44" s="172" t="s">
        <v>239</v>
      </c>
      <c r="D44" s="173"/>
      <c r="E44" s="174"/>
      <c r="F44" s="83"/>
      <c r="G44" s="1638"/>
      <c r="H44" s="172" t="s">
        <v>239</v>
      </c>
      <c r="I44" s="173"/>
      <c r="J44" s="1068"/>
      <c r="K44" s="81"/>
    </row>
    <row r="45" spans="1:42">
      <c r="B45" s="1637"/>
      <c r="C45" s="172" t="s">
        <v>145</v>
      </c>
      <c r="D45" s="175"/>
      <c r="E45" s="176"/>
      <c r="F45" s="83"/>
      <c r="G45" s="1638"/>
      <c r="H45" s="172" t="s">
        <v>145</v>
      </c>
      <c r="I45" s="173"/>
      <c r="J45" s="1068"/>
      <c r="K45" s="81"/>
    </row>
    <row r="46" spans="1:42">
      <c r="K46" s="1061"/>
      <c r="L46" s="1061"/>
    </row>
    <row r="47" spans="1:42">
      <c r="H47" s="937"/>
      <c r="I47" s="937"/>
      <c r="J47" s="937"/>
      <c r="K47" s="962"/>
      <c r="L47" s="962"/>
    </row>
    <row r="48" spans="1:42">
      <c r="K48" s="962"/>
      <c r="L48" s="962"/>
    </row>
    <row r="49" spans="11:12">
      <c r="K49" s="962"/>
      <c r="L49" s="962"/>
    </row>
    <row r="50" spans="11:12">
      <c r="K50" s="962"/>
      <c r="L50" s="962"/>
    </row>
    <row r="51" spans="11:12">
      <c r="K51" s="962"/>
      <c r="L51" s="962"/>
    </row>
    <row r="52" spans="11:12">
      <c r="K52" s="1060"/>
      <c r="L52" s="962"/>
    </row>
    <row r="53" spans="11:12">
      <c r="K53" s="962"/>
      <c r="L53" s="962"/>
    </row>
  </sheetData>
  <protectedRanges>
    <protectedRange sqref="D43:E45 I43:K45" name="Range7"/>
    <protectedRange sqref="A13:A39" name="Range3"/>
    <protectedRange sqref="K13:K34 D13:E34 H13:H39 A13:A34" name="Range4"/>
    <protectedRange sqref="L13:L39" name="Range5"/>
    <protectedRange sqref="C13:C39" name="Range6"/>
  </protectedRanges>
  <mergeCells count="17">
    <mergeCell ref="B43:B45"/>
    <mergeCell ref="G43:G45"/>
    <mergeCell ref="D10:D11"/>
    <mergeCell ref="E10:E11"/>
    <mergeCell ref="G10:G11"/>
    <mergeCell ref="F10:F11"/>
    <mergeCell ref="F9:G9"/>
    <mergeCell ref="J42:K42"/>
    <mergeCell ref="AI7:AP8"/>
    <mergeCell ref="Y7:AF8"/>
    <mergeCell ref="O7:V8"/>
    <mergeCell ref="K10:K11"/>
    <mergeCell ref="L10:L11"/>
    <mergeCell ref="I9:J9"/>
    <mergeCell ref="H10:H11"/>
    <mergeCell ref="I10:I11"/>
    <mergeCell ref="J10:J11"/>
  </mergeCells>
  <phoneticPr fontId="0" type="noConversion"/>
  <pageMargins left="0.27559055118110237" right="0.27559055118110237" top="0.70866141732283472" bottom="0.39370078740157483" header="0.39370078740157483" footer="0.19685039370078741"/>
  <pageSetup paperSize="9" scale="90" orientation="landscape" r:id="rId1"/>
  <headerFooter alignWithMargins="0">
    <oddFooter>&amp;L&amp;"Arial,Italic"&amp;7&amp;F&amp;C&amp;"Times New Roman CE,Italic"&amp;8&amp;D&amp;RF.N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T113"/>
  <sheetViews>
    <sheetView zoomScaleSheetLayoutView="100" workbookViewId="0">
      <pane ySplit="4" topLeftCell="A83" activePane="bottomLeft" state="frozen"/>
      <selection pane="bottomLeft" activeCell="D98" sqref="D98"/>
    </sheetView>
  </sheetViews>
  <sheetFormatPr defaultColWidth="9.140625" defaultRowHeight="12.75"/>
  <cols>
    <col min="1" max="1" width="4.28515625" style="702" bestFit="1" customWidth="1"/>
    <col min="2" max="2" width="25.42578125" style="702" customWidth="1"/>
    <col min="3" max="3" width="8" style="702" customWidth="1"/>
    <col min="4" max="4" width="10.140625" style="702" bestFit="1" customWidth="1"/>
    <col min="5" max="5" width="7" style="702" customWidth="1"/>
    <col min="6" max="6" width="9.140625" style="702"/>
    <col min="7" max="7" width="9" style="702" bestFit="1" customWidth="1"/>
    <col min="8" max="8" width="7.5703125" style="702" customWidth="1"/>
    <col min="9" max="9" width="8.42578125" style="702" customWidth="1"/>
    <col min="10" max="10" width="7.7109375" style="702" customWidth="1"/>
    <col min="11" max="11" width="7.42578125" style="702" customWidth="1"/>
    <col min="12" max="12" width="8.5703125" style="702" customWidth="1"/>
    <col min="13" max="13" width="7.7109375" style="702" bestFit="1" customWidth="1"/>
    <col min="14" max="14" width="7" style="702" customWidth="1"/>
    <col min="15" max="15" width="8" style="702" customWidth="1"/>
    <col min="16" max="16" width="7.7109375" style="702" bestFit="1" customWidth="1"/>
    <col min="17" max="17" width="8" style="702" customWidth="1"/>
    <col min="18" max="18" width="7.5703125" style="702" customWidth="1"/>
    <col min="19" max="19" width="9.140625" style="702"/>
    <col min="20" max="20" width="10" style="702" bestFit="1" customWidth="1"/>
    <col min="21" max="22" width="9.140625" style="702"/>
    <col min="23" max="23" width="16.140625" style="702" customWidth="1"/>
    <col min="24" max="16384" width="9.140625" style="702"/>
  </cols>
  <sheetData>
    <row r="1" spans="1:20" ht="16.5" thickBot="1">
      <c r="F1" s="851" t="s">
        <v>930</v>
      </c>
      <c r="I1" s="851"/>
      <c r="J1" s="852" t="str">
        <f>CONCATENATE('Te dhena fillesat 2022'!D7)</f>
        <v>Agjensia e Sherbimeve të Sportit</v>
      </c>
      <c r="L1" s="851"/>
      <c r="O1" s="851"/>
    </row>
    <row r="2" spans="1:20" ht="15.75">
      <c r="A2" s="1014"/>
      <c r="B2" s="1015"/>
      <c r="C2" s="1642" t="s">
        <v>931</v>
      </c>
      <c r="D2" s="1016"/>
      <c r="E2" s="1017"/>
      <c r="F2" s="1018"/>
      <c r="G2" s="1016"/>
      <c r="H2" s="1017"/>
      <c r="I2" s="1018"/>
      <c r="J2" s="1016"/>
      <c r="K2" s="1017"/>
      <c r="L2" s="1018"/>
      <c r="M2" s="1016"/>
      <c r="N2" s="1017"/>
      <c r="O2" s="1018"/>
      <c r="P2" s="1016"/>
      <c r="Q2" s="1017"/>
      <c r="R2" s="1019"/>
    </row>
    <row r="3" spans="1:20" ht="15.75">
      <c r="A3" s="1020" t="s">
        <v>932</v>
      </c>
      <c r="B3" s="854" t="s">
        <v>72</v>
      </c>
      <c r="C3" s="1643"/>
      <c r="D3" s="855" t="str">
        <f>CONCATENATE("Fakt viti ", VALUE('Tab_1_Të_Ardhura 2022-2024'!$L$4-2))</f>
        <v>Fakt viti 2020</v>
      </c>
      <c r="E3" s="856"/>
      <c r="F3" s="857"/>
      <c r="G3" s="855" t="str">
        <f>CONCATENATE("I pritshmi viti ", VALUE('Tab_1_Të_Ardhura 2022-2024'!$L$4-1))</f>
        <v>I pritshmi viti 2021</v>
      </c>
      <c r="H3" s="856"/>
      <c r="I3" s="857"/>
      <c r="J3" s="855" t="str">
        <f>CONCATENATE("Parashikimi viti ", VALUE('Tab_1_Të_Ardhura 2022-2024'!$L$4))</f>
        <v>Parashikimi viti 2022</v>
      </c>
      <c r="K3" s="856"/>
      <c r="L3" s="857"/>
      <c r="M3" s="855" t="str">
        <f>CONCATENATE("Parashikimi viti ", VALUE('Tab_1_Të_Ardhura 2022-2024'!$L$4+1))</f>
        <v>Parashikimi viti 2023</v>
      </c>
      <c r="N3" s="856"/>
      <c r="O3" s="857"/>
      <c r="P3" s="855" t="str">
        <f>CONCATENATE("Parashikimi viti ", VALUE('Tab_1_Të_Ardhura 2022-2024'!$L$4+2))</f>
        <v>Parashikimi viti 2024</v>
      </c>
      <c r="Q3" s="856"/>
      <c r="R3" s="1021"/>
    </row>
    <row r="4" spans="1:20" ht="15.75" customHeight="1" thickBot="1">
      <c r="A4" s="1035"/>
      <c r="B4" s="1036"/>
      <c r="C4" s="1644"/>
      <c r="D4" s="1036"/>
      <c r="E4" s="1036"/>
      <c r="F4" s="1037" t="s">
        <v>933</v>
      </c>
      <c r="G4" s="1036"/>
      <c r="H4" s="1036"/>
      <c r="I4" s="1037" t="s">
        <v>933</v>
      </c>
      <c r="J4" s="1036"/>
      <c r="K4" s="1036"/>
      <c r="L4" s="1037" t="s">
        <v>933</v>
      </c>
      <c r="M4" s="1036"/>
      <c r="N4" s="1036"/>
      <c r="O4" s="1037" t="s">
        <v>933</v>
      </c>
      <c r="P4" s="1036"/>
      <c r="Q4" s="1038"/>
      <c r="R4" s="1039" t="s">
        <v>933</v>
      </c>
    </row>
    <row r="5" spans="1:20" ht="15.75">
      <c r="A5" s="1022">
        <v>1</v>
      </c>
      <c r="B5" s="858" t="s">
        <v>934</v>
      </c>
      <c r="C5" s="1067">
        <v>1</v>
      </c>
      <c r="D5" s="1075"/>
      <c r="E5" s="1075"/>
      <c r="F5" s="1075"/>
      <c r="G5" s="1076"/>
      <c r="H5" s="1075"/>
      <c r="I5" s="1075"/>
      <c r="J5" s="1076"/>
      <c r="K5" s="1075"/>
      <c r="L5" s="1075"/>
      <c r="M5" s="1075"/>
      <c r="N5" s="1075"/>
      <c r="O5" s="1075"/>
      <c r="P5" s="1075"/>
      <c r="Q5" s="1075"/>
      <c r="R5" s="1077"/>
    </row>
    <row r="6" spans="1:20" ht="15.75">
      <c r="A6" s="1023">
        <v>2</v>
      </c>
      <c r="B6" s="859" t="s">
        <v>935</v>
      </c>
      <c r="C6" s="1067">
        <v>1</v>
      </c>
      <c r="D6" s="867"/>
      <c r="E6" s="867"/>
      <c r="F6" s="867"/>
      <c r="G6" s="1078"/>
      <c r="H6" s="867"/>
      <c r="I6" s="867"/>
      <c r="J6" s="1078"/>
      <c r="K6" s="867"/>
      <c r="L6" s="867"/>
      <c r="M6" s="867"/>
      <c r="N6" s="867"/>
      <c r="O6" s="867"/>
      <c r="P6" s="867"/>
      <c r="Q6" s="867"/>
      <c r="R6" s="1079"/>
    </row>
    <row r="7" spans="1:20" ht="15.75">
      <c r="A7" s="1023">
        <v>3</v>
      </c>
      <c r="B7" s="859" t="s">
        <v>936</v>
      </c>
      <c r="C7" s="1067">
        <v>1</v>
      </c>
      <c r="D7" s="867"/>
      <c r="E7" s="867"/>
      <c r="F7" s="867"/>
      <c r="G7" s="1078"/>
      <c r="H7" s="867"/>
      <c r="I7" s="867"/>
      <c r="J7" s="1078"/>
      <c r="K7" s="867"/>
      <c r="L7" s="867"/>
      <c r="M7" s="867"/>
      <c r="N7" s="867"/>
      <c r="O7" s="867"/>
      <c r="P7" s="867"/>
      <c r="Q7" s="867"/>
      <c r="R7" s="1079"/>
    </row>
    <row r="8" spans="1:20" ht="45">
      <c r="A8" s="1023">
        <v>4</v>
      </c>
      <c r="B8" s="859" t="s">
        <v>937</v>
      </c>
      <c r="C8" s="860">
        <v>1</v>
      </c>
      <c r="D8" s="862" t="s">
        <v>938</v>
      </c>
      <c r="E8" s="864" t="s">
        <v>939</v>
      </c>
      <c r="F8" s="863" t="s">
        <v>933</v>
      </c>
      <c r="G8" s="862" t="s">
        <v>938</v>
      </c>
      <c r="H8" s="864" t="s">
        <v>939</v>
      </c>
      <c r="I8" s="863" t="s">
        <v>933</v>
      </c>
      <c r="J8" s="862" t="s">
        <v>938</v>
      </c>
      <c r="K8" s="864" t="s">
        <v>939</v>
      </c>
      <c r="L8" s="863" t="s">
        <v>933</v>
      </c>
      <c r="M8" s="862" t="s">
        <v>938</v>
      </c>
      <c r="N8" s="864" t="s">
        <v>939</v>
      </c>
      <c r="O8" s="863" t="s">
        <v>933</v>
      </c>
      <c r="P8" s="862" t="s">
        <v>938</v>
      </c>
      <c r="Q8" s="864" t="s">
        <v>939</v>
      </c>
      <c r="R8" s="1025" t="s">
        <v>933</v>
      </c>
    </row>
    <row r="9" spans="1:20" ht="15.75">
      <c r="A9" s="1023"/>
      <c r="B9" s="865" t="s">
        <v>940</v>
      </c>
      <c r="C9" s="860">
        <v>1</v>
      </c>
      <c r="D9" s="867">
        <v>12000</v>
      </c>
      <c r="E9" s="868"/>
      <c r="F9" s="863">
        <f t="shared" ref="F9:F16" si="0">IF(D9=0,0,IF(E9=0,0,PRODUCT(D9,E9/1000)))</f>
        <v>0</v>
      </c>
      <c r="G9" s="866">
        <v>12000</v>
      </c>
      <c r="H9" s="867"/>
      <c r="I9" s="863">
        <f t="shared" ref="I9:I16" si="1">IF(G9=0,0,IF(H9=0,0,PRODUCT(G9,H9/1000)))</f>
        <v>0</v>
      </c>
      <c r="J9" s="861">
        <v>15330</v>
      </c>
      <c r="K9" s="867"/>
      <c r="L9" s="863">
        <f t="shared" ref="L9:L16" si="2">IF(J9=0,0,IF(K9=0,0,PRODUCT(J9,K9/1000)))</f>
        <v>0</v>
      </c>
      <c r="M9" s="861">
        <v>15330</v>
      </c>
      <c r="N9" s="867"/>
      <c r="O9" s="863">
        <f t="shared" ref="O9:O16" si="3">IF(M9=0,0,IF(N9=0,0,PRODUCT(M9,N9/1000)))</f>
        <v>0</v>
      </c>
      <c r="P9" s="861">
        <v>15330</v>
      </c>
      <c r="Q9" s="867"/>
      <c r="R9" s="1025">
        <f t="shared" ref="R9:R16" si="4">IF(P9=0,0,IF(Q9=0,0,PRODUCT(P9,Q9/1000)))</f>
        <v>0</v>
      </c>
      <c r="T9" s="875"/>
    </row>
    <row r="10" spans="1:20" ht="15.75">
      <c r="A10" s="1023"/>
      <c r="B10" s="865" t="s">
        <v>940</v>
      </c>
      <c r="C10" s="860">
        <v>1</v>
      </c>
      <c r="D10" s="867">
        <v>12264</v>
      </c>
      <c r="E10" s="868"/>
      <c r="F10" s="863">
        <f t="shared" si="0"/>
        <v>0</v>
      </c>
      <c r="G10" s="866">
        <v>12264</v>
      </c>
      <c r="H10" s="867"/>
      <c r="I10" s="863">
        <f t="shared" si="1"/>
        <v>0</v>
      </c>
      <c r="J10" s="861">
        <v>15746</v>
      </c>
      <c r="K10" s="867"/>
      <c r="L10" s="863">
        <f t="shared" si="2"/>
        <v>0</v>
      </c>
      <c r="M10" s="861">
        <v>15746</v>
      </c>
      <c r="N10" s="867"/>
      <c r="O10" s="863">
        <f t="shared" si="3"/>
        <v>0</v>
      </c>
      <c r="P10" s="861">
        <v>15746</v>
      </c>
      <c r="Q10" s="867"/>
      <c r="R10" s="1025">
        <f t="shared" si="4"/>
        <v>0</v>
      </c>
      <c r="T10" s="875"/>
    </row>
    <row r="11" spans="1:20" ht="15.75">
      <c r="A11" s="1023"/>
      <c r="B11" s="865" t="s">
        <v>940</v>
      </c>
      <c r="C11" s="860">
        <v>1</v>
      </c>
      <c r="D11" s="867">
        <v>15000</v>
      </c>
      <c r="E11" s="868"/>
      <c r="F11" s="863">
        <f t="shared" si="0"/>
        <v>0</v>
      </c>
      <c r="G11" s="866">
        <v>15000</v>
      </c>
      <c r="H11" s="867"/>
      <c r="I11" s="863">
        <f t="shared" si="1"/>
        <v>0</v>
      </c>
      <c r="J11" s="867">
        <v>15940</v>
      </c>
      <c r="K11" s="867"/>
      <c r="L11" s="863">
        <f t="shared" si="2"/>
        <v>0</v>
      </c>
      <c r="M11" s="867">
        <v>15940</v>
      </c>
      <c r="N11" s="867"/>
      <c r="O11" s="863">
        <f t="shared" si="3"/>
        <v>0</v>
      </c>
      <c r="P11" s="867">
        <v>15940</v>
      </c>
      <c r="Q11" s="867"/>
      <c r="R11" s="1025">
        <f t="shared" si="4"/>
        <v>0</v>
      </c>
      <c r="T11" s="875"/>
    </row>
    <row r="12" spans="1:20" ht="15.75">
      <c r="A12" s="1023"/>
      <c r="B12" s="865" t="s">
        <v>940</v>
      </c>
      <c r="C12" s="860">
        <v>1</v>
      </c>
      <c r="D12" s="867">
        <v>15330</v>
      </c>
      <c r="E12" s="867"/>
      <c r="F12" s="863">
        <f t="shared" si="0"/>
        <v>0</v>
      </c>
      <c r="G12" s="861">
        <v>15330</v>
      </c>
      <c r="H12" s="867"/>
      <c r="I12" s="863">
        <f t="shared" si="1"/>
        <v>0</v>
      </c>
      <c r="J12" s="867">
        <v>16375</v>
      </c>
      <c r="K12" s="867"/>
      <c r="L12" s="863">
        <f t="shared" si="2"/>
        <v>0</v>
      </c>
      <c r="M12" s="867">
        <v>16375</v>
      </c>
      <c r="N12" s="867"/>
      <c r="O12" s="863">
        <f t="shared" si="3"/>
        <v>0</v>
      </c>
      <c r="P12" s="867">
        <v>16375</v>
      </c>
      <c r="Q12" s="867"/>
      <c r="R12" s="1025">
        <f t="shared" si="4"/>
        <v>0</v>
      </c>
      <c r="T12" s="875"/>
    </row>
    <row r="13" spans="1:20" ht="15.75">
      <c r="A13" s="1023"/>
      <c r="B13" s="865" t="s">
        <v>940</v>
      </c>
      <c r="C13" s="860">
        <v>1</v>
      </c>
      <c r="D13" s="867">
        <v>15940</v>
      </c>
      <c r="E13" s="867"/>
      <c r="F13" s="863">
        <f t="shared" si="0"/>
        <v>0</v>
      </c>
      <c r="G13" s="861">
        <v>15746</v>
      </c>
      <c r="H13" s="867"/>
      <c r="I13" s="863">
        <f t="shared" si="1"/>
        <v>0</v>
      </c>
      <c r="J13" s="861">
        <v>17030</v>
      </c>
      <c r="K13" s="867"/>
      <c r="L13" s="863">
        <f t="shared" si="2"/>
        <v>0</v>
      </c>
      <c r="M13" s="861">
        <v>17030</v>
      </c>
      <c r="N13" s="867"/>
      <c r="O13" s="863">
        <f t="shared" si="3"/>
        <v>0</v>
      </c>
      <c r="P13" s="861">
        <v>17030</v>
      </c>
      <c r="Q13" s="867"/>
      <c r="R13" s="1025">
        <f t="shared" si="4"/>
        <v>0</v>
      </c>
      <c r="T13" s="875"/>
    </row>
    <row r="14" spans="1:20" ht="15.75">
      <c r="A14" s="1023"/>
      <c r="B14" s="865" t="s">
        <v>940</v>
      </c>
      <c r="C14" s="860">
        <v>1</v>
      </c>
      <c r="D14" s="867"/>
      <c r="E14" s="867"/>
      <c r="F14" s="863">
        <f t="shared" si="0"/>
        <v>0</v>
      </c>
      <c r="G14" s="867">
        <v>15940</v>
      </c>
      <c r="H14" s="867"/>
      <c r="I14" s="863">
        <f t="shared" si="1"/>
        <v>0</v>
      </c>
      <c r="J14" s="867"/>
      <c r="K14" s="867"/>
      <c r="L14" s="863">
        <f t="shared" si="2"/>
        <v>0</v>
      </c>
      <c r="M14" s="861">
        <v>17030</v>
      </c>
      <c r="N14" s="867"/>
      <c r="O14" s="863">
        <f t="shared" si="3"/>
        <v>0</v>
      </c>
      <c r="P14" s="861">
        <v>17030</v>
      </c>
      <c r="Q14" s="867"/>
      <c r="R14" s="1025">
        <f t="shared" si="4"/>
        <v>0</v>
      </c>
      <c r="T14" s="875"/>
    </row>
    <row r="15" spans="1:20" ht="15.75">
      <c r="A15" s="1023"/>
      <c r="B15" s="865" t="s">
        <v>940</v>
      </c>
      <c r="C15" s="860">
        <v>1</v>
      </c>
      <c r="D15" s="867"/>
      <c r="E15" s="867"/>
      <c r="F15" s="863">
        <f t="shared" si="0"/>
        <v>0</v>
      </c>
      <c r="G15" s="867">
        <v>16375</v>
      </c>
      <c r="H15" s="867"/>
      <c r="I15" s="863">
        <f t="shared" si="1"/>
        <v>0</v>
      </c>
      <c r="J15" s="867"/>
      <c r="K15" s="867"/>
      <c r="L15" s="863">
        <f t="shared" si="2"/>
        <v>0</v>
      </c>
      <c r="M15" s="867"/>
      <c r="N15" s="867"/>
      <c r="O15" s="863">
        <f t="shared" si="3"/>
        <v>0</v>
      </c>
      <c r="P15" s="861">
        <v>17030</v>
      </c>
      <c r="Q15" s="867"/>
      <c r="R15" s="1025">
        <f t="shared" si="4"/>
        <v>0</v>
      </c>
      <c r="T15" s="875"/>
    </row>
    <row r="16" spans="1:20" ht="15.75">
      <c r="A16" s="1023"/>
      <c r="B16" s="865" t="s">
        <v>940</v>
      </c>
      <c r="C16" s="860">
        <v>1</v>
      </c>
      <c r="D16" s="867"/>
      <c r="E16" s="867"/>
      <c r="F16" s="863">
        <f t="shared" si="0"/>
        <v>0</v>
      </c>
      <c r="G16" s="867"/>
      <c r="H16" s="867"/>
      <c r="I16" s="863">
        <f t="shared" si="1"/>
        <v>0</v>
      </c>
      <c r="J16" s="861"/>
      <c r="K16" s="867"/>
      <c r="L16" s="863">
        <f t="shared" si="2"/>
        <v>0</v>
      </c>
      <c r="M16" s="861"/>
      <c r="N16" s="867"/>
      <c r="O16" s="863">
        <f t="shared" si="3"/>
        <v>0</v>
      </c>
      <c r="P16" s="861"/>
      <c r="Q16" s="867"/>
      <c r="R16" s="1025">
        <f t="shared" si="4"/>
        <v>0</v>
      </c>
      <c r="T16" s="875"/>
    </row>
    <row r="17" spans="1:20" ht="15.75">
      <c r="A17" s="1026"/>
      <c r="B17" s="869" t="s">
        <v>941</v>
      </c>
      <c r="C17" s="860">
        <v>1</v>
      </c>
      <c r="D17" s="872"/>
      <c r="E17" s="871">
        <f>SUM(E9:E16)</f>
        <v>0</v>
      </c>
      <c r="F17" s="871">
        <f>SUM(F9:F16)</f>
        <v>0</v>
      </c>
      <c r="G17" s="872"/>
      <c r="H17" s="871">
        <f>SUM(H9:H16)</f>
        <v>0</v>
      </c>
      <c r="I17" s="871">
        <f>SUM(I9:I16)</f>
        <v>0</v>
      </c>
      <c r="J17" s="872"/>
      <c r="K17" s="871">
        <f>SUM(K9:K16)</f>
        <v>0</v>
      </c>
      <c r="L17" s="871">
        <f>SUM(L9:L16)</f>
        <v>0</v>
      </c>
      <c r="M17" s="872"/>
      <c r="N17" s="873">
        <f>SUM(N9:N16)</f>
        <v>0</v>
      </c>
      <c r="O17" s="871">
        <f>SUM(O9:O16)</f>
        <v>0</v>
      </c>
      <c r="P17" s="872"/>
      <c r="Q17" s="871">
        <f>SUM(Q9:Q16)</f>
        <v>0</v>
      </c>
      <c r="R17" s="1027">
        <f>SUM(R9:R16)</f>
        <v>0</v>
      </c>
      <c r="T17" s="875"/>
    </row>
    <row r="18" spans="1:20" ht="45">
      <c r="A18" s="1023">
        <v>5</v>
      </c>
      <c r="B18" s="859" t="s">
        <v>965</v>
      </c>
      <c r="C18" s="860">
        <v>1</v>
      </c>
      <c r="D18" s="862" t="s">
        <v>938</v>
      </c>
      <c r="E18" s="864" t="s">
        <v>939</v>
      </c>
      <c r="F18" s="863" t="s">
        <v>933</v>
      </c>
      <c r="G18" s="862" t="s">
        <v>938</v>
      </c>
      <c r="H18" s="864" t="s">
        <v>939</v>
      </c>
      <c r="I18" s="863" t="s">
        <v>933</v>
      </c>
      <c r="J18" s="862" t="s">
        <v>938</v>
      </c>
      <c r="K18" s="864" t="s">
        <v>939</v>
      </c>
      <c r="L18" s="863" t="s">
        <v>933</v>
      </c>
      <c r="M18" s="862" t="s">
        <v>938</v>
      </c>
      <c r="N18" s="864" t="s">
        <v>939</v>
      </c>
      <c r="O18" s="863" t="s">
        <v>933</v>
      </c>
      <c r="P18" s="862" t="s">
        <v>938</v>
      </c>
      <c r="Q18" s="864" t="s">
        <v>939</v>
      </c>
      <c r="R18" s="1025" t="s">
        <v>933</v>
      </c>
      <c r="T18" s="875"/>
    </row>
    <row r="19" spans="1:20" ht="15.75">
      <c r="A19" s="1023"/>
      <c r="B19" s="865" t="s">
        <v>920</v>
      </c>
      <c r="C19" s="860">
        <v>1</v>
      </c>
      <c r="D19" s="867"/>
      <c r="E19" s="867"/>
      <c r="F19" s="863">
        <f t="shared" ref="F19:F28" si="5">IF(D19=0,0,IF(E19=0,0,PRODUCT(D19,E19/1000)))</f>
        <v>0</v>
      </c>
      <c r="G19" s="861">
        <v>63000</v>
      </c>
      <c r="H19" s="868"/>
      <c r="I19" s="863">
        <f t="shared" ref="I19:I28" si="6">IF(G19=0,0,IF(H19=0,0,PRODUCT(G19,H19/1000)))</f>
        <v>0</v>
      </c>
      <c r="J19" s="861">
        <v>63000</v>
      </c>
      <c r="K19" s="867"/>
      <c r="L19" s="863">
        <f t="shared" ref="L19:L24" si="7">IF(J19=0,0,IF(K19=0,0,PRODUCT(J19,K19/1000)))</f>
        <v>0</v>
      </c>
      <c r="M19" s="861">
        <v>63000</v>
      </c>
      <c r="N19" s="867"/>
      <c r="O19" s="863">
        <f t="shared" ref="O19:O28" si="8">IF(M19=0,0,IF(N19=0,0,PRODUCT(M19,N19/1000)))</f>
        <v>0</v>
      </c>
      <c r="P19" s="861">
        <v>63000</v>
      </c>
      <c r="Q19" s="867"/>
      <c r="R19" s="1025">
        <f t="shared" ref="R19:R28" si="9">IF(P19=0,0,IF(Q19=0,0,PRODUCT(P19,Q19/1000)))</f>
        <v>0</v>
      </c>
      <c r="T19" s="875"/>
    </row>
    <row r="20" spans="1:20" ht="15.75">
      <c r="A20" s="1023"/>
      <c r="B20" s="865" t="s">
        <v>920</v>
      </c>
      <c r="C20" s="860">
        <v>1</v>
      </c>
      <c r="D20" s="867"/>
      <c r="E20" s="867"/>
      <c r="F20" s="863">
        <f t="shared" si="5"/>
        <v>0</v>
      </c>
      <c r="G20" s="861">
        <v>72000</v>
      </c>
      <c r="H20" s="867"/>
      <c r="I20" s="863">
        <f t="shared" si="6"/>
        <v>0</v>
      </c>
      <c r="J20" s="861">
        <v>72000</v>
      </c>
      <c r="K20" s="867"/>
      <c r="L20" s="863">
        <f t="shared" si="7"/>
        <v>0</v>
      </c>
      <c r="M20" s="861">
        <v>72000</v>
      </c>
      <c r="N20" s="867"/>
      <c r="O20" s="863">
        <f t="shared" si="8"/>
        <v>0</v>
      </c>
      <c r="P20" s="861">
        <v>72000</v>
      </c>
      <c r="Q20" s="867"/>
      <c r="R20" s="1025">
        <f t="shared" si="9"/>
        <v>0</v>
      </c>
      <c r="T20" s="875"/>
    </row>
    <row r="21" spans="1:20" ht="15.75">
      <c r="A21" s="1023"/>
      <c r="B21" s="865" t="s">
        <v>921</v>
      </c>
      <c r="C21" s="860">
        <v>1</v>
      </c>
      <c r="D21" s="867"/>
      <c r="E21" s="867"/>
      <c r="F21" s="863">
        <f t="shared" si="5"/>
        <v>0</v>
      </c>
      <c r="G21" s="861">
        <v>65520</v>
      </c>
      <c r="H21" s="867"/>
      <c r="I21" s="863">
        <f t="shared" si="6"/>
        <v>0</v>
      </c>
      <c r="J21" s="861">
        <v>65520</v>
      </c>
      <c r="K21" s="867"/>
      <c r="L21" s="863">
        <f t="shared" si="7"/>
        <v>0</v>
      </c>
      <c r="M21" s="861">
        <v>65520</v>
      </c>
      <c r="N21" s="867"/>
      <c r="O21" s="863">
        <f t="shared" si="8"/>
        <v>0</v>
      </c>
      <c r="P21" s="861">
        <v>65520</v>
      </c>
      <c r="Q21" s="867"/>
      <c r="R21" s="1025">
        <f t="shared" si="9"/>
        <v>0</v>
      </c>
      <c r="T21" s="875"/>
    </row>
    <row r="22" spans="1:20" ht="15.75">
      <c r="A22" s="1023"/>
      <c r="B22" s="865" t="s">
        <v>921</v>
      </c>
      <c r="C22" s="860">
        <v>1</v>
      </c>
      <c r="D22" s="867"/>
      <c r="E22" s="867"/>
      <c r="F22" s="863">
        <f t="shared" si="5"/>
        <v>0</v>
      </c>
      <c r="G22" s="861">
        <v>68130</v>
      </c>
      <c r="H22" s="867"/>
      <c r="I22" s="863">
        <f t="shared" si="6"/>
        <v>0</v>
      </c>
      <c r="J22" s="861">
        <v>68130</v>
      </c>
      <c r="K22" s="867"/>
      <c r="L22" s="863">
        <f t="shared" si="7"/>
        <v>0</v>
      </c>
      <c r="M22" s="861">
        <v>68130</v>
      </c>
      <c r="N22" s="867"/>
      <c r="O22" s="863">
        <f t="shared" si="8"/>
        <v>0</v>
      </c>
      <c r="P22" s="861">
        <v>68130</v>
      </c>
      <c r="Q22" s="867"/>
      <c r="R22" s="1025">
        <f t="shared" si="9"/>
        <v>0</v>
      </c>
      <c r="T22" s="875"/>
    </row>
    <row r="23" spans="1:20" ht="15.75">
      <c r="A23" s="1023"/>
      <c r="B23" s="865"/>
      <c r="C23" s="860">
        <v>1</v>
      </c>
      <c r="D23" s="867"/>
      <c r="E23" s="867"/>
      <c r="F23" s="863">
        <f t="shared" si="5"/>
        <v>0</v>
      </c>
      <c r="G23" s="867"/>
      <c r="H23" s="867"/>
      <c r="I23" s="863">
        <f t="shared" si="6"/>
        <v>0</v>
      </c>
      <c r="J23" s="861"/>
      <c r="K23" s="867"/>
      <c r="L23" s="863">
        <f t="shared" si="7"/>
        <v>0</v>
      </c>
      <c r="M23" s="861"/>
      <c r="N23" s="867"/>
      <c r="O23" s="863">
        <f t="shared" si="8"/>
        <v>0</v>
      </c>
      <c r="P23" s="861"/>
      <c r="Q23" s="867"/>
      <c r="R23" s="1025">
        <f t="shared" si="9"/>
        <v>0</v>
      </c>
      <c r="T23" s="875"/>
    </row>
    <row r="24" spans="1:20" ht="15.75">
      <c r="A24" s="1023"/>
      <c r="B24" s="865"/>
      <c r="C24" s="860">
        <v>1</v>
      </c>
      <c r="D24" s="867"/>
      <c r="E24" s="867"/>
      <c r="F24" s="863">
        <f t="shared" si="5"/>
        <v>0</v>
      </c>
      <c r="G24" s="867"/>
      <c r="H24" s="867"/>
      <c r="I24" s="863">
        <f t="shared" si="6"/>
        <v>0</v>
      </c>
      <c r="J24" s="861"/>
      <c r="K24" s="867"/>
      <c r="L24" s="863">
        <f t="shared" si="7"/>
        <v>0</v>
      </c>
      <c r="M24" s="861"/>
      <c r="N24" s="867"/>
      <c r="O24" s="863">
        <f t="shared" si="8"/>
        <v>0</v>
      </c>
      <c r="P24" s="861"/>
      <c r="Q24" s="867"/>
      <c r="R24" s="1025">
        <f t="shared" si="9"/>
        <v>0</v>
      </c>
      <c r="T24" s="875"/>
    </row>
    <row r="25" spans="1:20" ht="15.75">
      <c r="A25" s="1023"/>
      <c r="B25" s="865"/>
      <c r="C25" s="860">
        <v>1</v>
      </c>
      <c r="D25" s="867"/>
      <c r="E25" s="867"/>
      <c r="F25" s="863">
        <f t="shared" si="5"/>
        <v>0</v>
      </c>
      <c r="G25" s="861"/>
      <c r="H25" s="867"/>
      <c r="I25" s="863">
        <f t="shared" si="6"/>
        <v>0</v>
      </c>
      <c r="J25" s="861"/>
      <c r="K25" s="867"/>
      <c r="L25" s="863">
        <f>IF(J25=0,0,IF(K25=0,0,PRODUCT(J25,K25/1000)))</f>
        <v>0</v>
      </c>
      <c r="M25" s="861"/>
      <c r="N25" s="867"/>
      <c r="O25" s="863">
        <f t="shared" si="8"/>
        <v>0</v>
      </c>
      <c r="P25" s="861"/>
      <c r="Q25" s="867"/>
      <c r="R25" s="1025">
        <f t="shared" si="9"/>
        <v>0</v>
      </c>
      <c r="T25" s="875"/>
    </row>
    <row r="26" spans="1:20" ht="15.75">
      <c r="A26" s="1023"/>
      <c r="B26" s="865"/>
      <c r="C26" s="860">
        <v>1</v>
      </c>
      <c r="D26" s="867"/>
      <c r="E26" s="867"/>
      <c r="F26" s="863">
        <f t="shared" si="5"/>
        <v>0</v>
      </c>
      <c r="G26" s="867"/>
      <c r="H26" s="867"/>
      <c r="I26" s="863">
        <f t="shared" si="6"/>
        <v>0</v>
      </c>
      <c r="J26" s="867"/>
      <c r="K26" s="867"/>
      <c r="L26" s="863">
        <f t="shared" ref="L26:L28" si="10">IF(J26=0,0,IF(K26=0,0,PRODUCT(J26,K26/1000)))</f>
        <v>0</v>
      </c>
      <c r="M26" s="867"/>
      <c r="N26" s="867"/>
      <c r="O26" s="863">
        <f t="shared" si="8"/>
        <v>0</v>
      </c>
      <c r="P26" s="867"/>
      <c r="Q26" s="867"/>
      <c r="R26" s="1025">
        <f t="shared" si="9"/>
        <v>0</v>
      </c>
      <c r="T26" s="875"/>
    </row>
    <row r="27" spans="1:20" ht="15.75">
      <c r="A27" s="1023"/>
      <c r="B27" s="865"/>
      <c r="C27" s="860">
        <v>1</v>
      </c>
      <c r="D27" s="867"/>
      <c r="E27" s="867"/>
      <c r="F27" s="863">
        <f t="shared" si="5"/>
        <v>0</v>
      </c>
      <c r="G27" s="867"/>
      <c r="H27" s="867"/>
      <c r="I27" s="863">
        <f t="shared" si="6"/>
        <v>0</v>
      </c>
      <c r="J27" s="861"/>
      <c r="K27" s="867"/>
      <c r="L27" s="863">
        <f t="shared" si="10"/>
        <v>0</v>
      </c>
      <c r="M27" s="861"/>
      <c r="N27" s="867"/>
      <c r="O27" s="863">
        <f t="shared" si="8"/>
        <v>0</v>
      </c>
      <c r="P27" s="861"/>
      <c r="Q27" s="867"/>
      <c r="R27" s="1025">
        <f t="shared" si="9"/>
        <v>0</v>
      </c>
      <c r="T27" s="875"/>
    </row>
    <row r="28" spans="1:20" ht="15.75">
      <c r="A28" s="1023"/>
      <c r="B28" s="865"/>
      <c r="C28" s="860">
        <v>1</v>
      </c>
      <c r="D28" s="867"/>
      <c r="E28" s="867"/>
      <c r="F28" s="863">
        <f t="shared" si="5"/>
        <v>0</v>
      </c>
      <c r="G28" s="867"/>
      <c r="H28" s="867"/>
      <c r="I28" s="863">
        <f t="shared" si="6"/>
        <v>0</v>
      </c>
      <c r="J28" s="861"/>
      <c r="K28" s="867"/>
      <c r="L28" s="863">
        <f t="shared" si="10"/>
        <v>0</v>
      </c>
      <c r="M28" s="861"/>
      <c r="N28" s="867"/>
      <c r="O28" s="863">
        <f t="shared" si="8"/>
        <v>0</v>
      </c>
      <c r="P28" s="861"/>
      <c r="Q28" s="867"/>
      <c r="R28" s="1025">
        <f t="shared" si="9"/>
        <v>0</v>
      </c>
      <c r="T28" s="875"/>
    </row>
    <row r="29" spans="1:20" ht="15.75">
      <c r="A29" s="1026"/>
      <c r="B29" s="869" t="s">
        <v>942</v>
      </c>
      <c r="C29" s="870">
        <v>1</v>
      </c>
      <c r="D29" s="872"/>
      <c r="E29" s="871">
        <f>SUM(E19:E28)</f>
        <v>0</v>
      </c>
      <c r="F29" s="871">
        <f>SUM(F19:F28)</f>
        <v>0</v>
      </c>
      <c r="G29" s="872"/>
      <c r="H29" s="871">
        <f>SUM(H19:H28)</f>
        <v>0</v>
      </c>
      <c r="I29" s="871">
        <f>SUM(I19:I28)</f>
        <v>0</v>
      </c>
      <c r="J29" s="874"/>
      <c r="K29" s="873">
        <f>SUM(K19:K28)</f>
        <v>0</v>
      </c>
      <c r="L29" s="873">
        <f>SUM(L19:L28)</f>
        <v>0</v>
      </c>
      <c r="M29" s="872"/>
      <c r="N29" s="873">
        <f>SUM(N19:N28)</f>
        <v>0</v>
      </c>
      <c r="O29" s="871">
        <f>SUM(O19:O28)</f>
        <v>0</v>
      </c>
      <c r="P29" s="872"/>
      <c r="Q29" s="873">
        <f>SUM(Q19:Q28)</f>
        <v>0</v>
      </c>
      <c r="R29" s="1027">
        <f>SUM(R19:R28)</f>
        <v>0</v>
      </c>
      <c r="T29" s="875"/>
    </row>
    <row r="30" spans="1:20" ht="45">
      <c r="A30" s="1023">
        <v>6</v>
      </c>
      <c r="B30" s="859" t="s">
        <v>966</v>
      </c>
      <c r="C30" s="860">
        <v>1</v>
      </c>
      <c r="D30" s="862" t="s">
        <v>938</v>
      </c>
      <c r="E30" s="864" t="s">
        <v>939</v>
      </c>
      <c r="F30" s="863" t="s">
        <v>933</v>
      </c>
      <c r="G30" s="862" t="s">
        <v>938</v>
      </c>
      <c r="H30" s="864" t="s">
        <v>939</v>
      </c>
      <c r="I30" s="863" t="s">
        <v>933</v>
      </c>
      <c r="J30" s="862" t="s">
        <v>938</v>
      </c>
      <c r="K30" s="864" t="s">
        <v>939</v>
      </c>
      <c r="L30" s="863" t="s">
        <v>933</v>
      </c>
      <c r="M30" s="862" t="s">
        <v>938</v>
      </c>
      <c r="N30" s="864" t="s">
        <v>939</v>
      </c>
      <c r="O30" s="863" t="s">
        <v>933</v>
      </c>
      <c r="P30" s="862" t="s">
        <v>938</v>
      </c>
      <c r="Q30" s="864" t="s">
        <v>939</v>
      </c>
      <c r="R30" s="1025" t="s">
        <v>933</v>
      </c>
      <c r="T30" s="875"/>
    </row>
    <row r="31" spans="1:20" ht="15.75">
      <c r="A31" s="1023"/>
      <c r="B31" s="865" t="s">
        <v>919</v>
      </c>
      <c r="C31" s="860">
        <v>1</v>
      </c>
      <c r="D31" s="867"/>
      <c r="E31" s="867"/>
      <c r="F31" s="863">
        <f t="shared" ref="F31:F40" si="11">IF(D31=0,0,IF(E31=0,0,PRODUCT(D31,E31/1000)))</f>
        <v>0</v>
      </c>
      <c r="G31" s="861">
        <v>51000</v>
      </c>
      <c r="H31" s="861"/>
      <c r="I31" s="863">
        <f t="shared" ref="I31:I40" si="12">IF(G31=0,0,IF(H31=0,0,PRODUCT(G31,H31/1000)))</f>
        <v>0</v>
      </c>
      <c r="J31" s="861">
        <v>51000</v>
      </c>
      <c r="K31" s="861"/>
      <c r="L31" s="863">
        <f t="shared" ref="L31:L36" si="13">IF(J31=0,0,IF(K31=0,0,PRODUCT(J31,K31/1000)))</f>
        <v>0</v>
      </c>
      <c r="M31" s="861">
        <v>51000</v>
      </c>
      <c r="N31" s="861"/>
      <c r="O31" s="863">
        <f t="shared" ref="O31:O40" si="14">IF(M31=0,0,IF(N31=0,0,PRODUCT(M31,N31/1000)))</f>
        <v>0</v>
      </c>
      <c r="P31" s="861">
        <v>51000</v>
      </c>
      <c r="Q31" s="861"/>
      <c r="R31" s="1025">
        <f t="shared" ref="R31:R40" si="15">IF(P31=0,0,IF(Q31=0,0,PRODUCT(P31,Q31/1000)))</f>
        <v>0</v>
      </c>
      <c r="T31" s="875"/>
    </row>
    <row r="32" spans="1:20" ht="15.75">
      <c r="A32" s="1023"/>
      <c r="B32" s="865" t="s">
        <v>919</v>
      </c>
      <c r="C32" s="860">
        <v>1</v>
      </c>
      <c r="D32" s="867"/>
      <c r="E32" s="867"/>
      <c r="F32" s="863">
        <f t="shared" si="11"/>
        <v>0</v>
      </c>
      <c r="G32" s="861">
        <v>53040</v>
      </c>
      <c r="H32" s="867"/>
      <c r="I32" s="863">
        <f t="shared" si="12"/>
        <v>0</v>
      </c>
      <c r="J32" s="861">
        <v>53040</v>
      </c>
      <c r="K32" s="867"/>
      <c r="L32" s="863">
        <f t="shared" si="13"/>
        <v>0</v>
      </c>
      <c r="M32" s="861">
        <v>53040</v>
      </c>
      <c r="N32" s="867"/>
      <c r="O32" s="863">
        <f t="shared" si="14"/>
        <v>0</v>
      </c>
      <c r="P32" s="861">
        <v>53040</v>
      </c>
      <c r="Q32" s="867"/>
      <c r="R32" s="1025">
        <f t="shared" si="15"/>
        <v>0</v>
      </c>
      <c r="T32" s="875"/>
    </row>
    <row r="33" spans="1:20" ht="15.75">
      <c r="A33" s="1023"/>
      <c r="B33" s="865" t="s">
        <v>919</v>
      </c>
      <c r="C33" s="860">
        <v>1</v>
      </c>
      <c r="D33" s="867"/>
      <c r="E33" s="867"/>
      <c r="F33" s="863">
        <f t="shared" si="11"/>
        <v>0</v>
      </c>
      <c r="G33" s="861">
        <v>60000</v>
      </c>
      <c r="H33" s="867"/>
      <c r="I33" s="863">
        <f t="shared" si="12"/>
        <v>0</v>
      </c>
      <c r="J33" s="861">
        <v>60000</v>
      </c>
      <c r="K33" s="867"/>
      <c r="L33" s="863">
        <f t="shared" si="13"/>
        <v>0</v>
      </c>
      <c r="M33" s="861">
        <v>60000</v>
      </c>
      <c r="N33" s="867"/>
      <c r="O33" s="863">
        <f t="shared" si="14"/>
        <v>0</v>
      </c>
      <c r="P33" s="861">
        <v>60000</v>
      </c>
      <c r="Q33" s="867"/>
      <c r="R33" s="1025">
        <f t="shared" si="15"/>
        <v>0</v>
      </c>
      <c r="T33" s="875"/>
    </row>
    <row r="34" spans="1:20" ht="15.75">
      <c r="A34" s="1023"/>
      <c r="B34" s="865" t="s">
        <v>919</v>
      </c>
      <c r="C34" s="860">
        <v>1</v>
      </c>
      <c r="D34" s="867"/>
      <c r="E34" s="867"/>
      <c r="F34" s="863">
        <f t="shared" si="11"/>
        <v>0</v>
      </c>
      <c r="G34" s="861">
        <v>62400</v>
      </c>
      <c r="H34" s="867"/>
      <c r="I34" s="863">
        <f t="shared" si="12"/>
        <v>0</v>
      </c>
      <c r="J34" s="861">
        <v>62400</v>
      </c>
      <c r="K34" s="867"/>
      <c r="L34" s="863">
        <f t="shared" si="13"/>
        <v>0</v>
      </c>
      <c r="M34" s="861">
        <v>62400</v>
      </c>
      <c r="N34" s="867"/>
      <c r="O34" s="863">
        <f t="shared" si="14"/>
        <v>0</v>
      </c>
      <c r="P34" s="861">
        <v>62400</v>
      </c>
      <c r="Q34" s="867"/>
      <c r="R34" s="1025">
        <f t="shared" si="15"/>
        <v>0</v>
      </c>
      <c r="T34" s="875"/>
    </row>
    <row r="35" spans="1:20" ht="15.75">
      <c r="A35" s="1023"/>
      <c r="B35" s="865" t="s">
        <v>919</v>
      </c>
      <c r="C35" s="860">
        <v>1</v>
      </c>
      <c r="D35" s="867"/>
      <c r="E35" s="867"/>
      <c r="F35" s="863">
        <f t="shared" si="11"/>
        <v>0</v>
      </c>
      <c r="G35" s="861"/>
      <c r="H35" s="867"/>
      <c r="I35" s="863">
        <f t="shared" si="12"/>
        <v>0</v>
      </c>
      <c r="J35" s="861"/>
      <c r="K35" s="867"/>
      <c r="L35" s="863">
        <f t="shared" si="13"/>
        <v>0</v>
      </c>
      <c r="M35" s="861"/>
      <c r="N35" s="867"/>
      <c r="O35" s="863">
        <f t="shared" si="14"/>
        <v>0</v>
      </c>
      <c r="P35" s="861"/>
      <c r="Q35" s="867"/>
      <c r="R35" s="1025">
        <f t="shared" si="15"/>
        <v>0</v>
      </c>
      <c r="T35" s="875"/>
    </row>
    <row r="36" spans="1:20" ht="15.75">
      <c r="A36" s="1023"/>
      <c r="B36" s="865" t="s">
        <v>919</v>
      </c>
      <c r="C36" s="860">
        <v>1</v>
      </c>
      <c r="D36" s="867"/>
      <c r="E36" s="867"/>
      <c r="F36" s="863">
        <f t="shared" si="11"/>
        <v>0</v>
      </c>
      <c r="G36" s="861"/>
      <c r="H36" s="867"/>
      <c r="I36" s="863">
        <f t="shared" si="12"/>
        <v>0</v>
      </c>
      <c r="J36" s="861"/>
      <c r="K36" s="867"/>
      <c r="L36" s="863">
        <f t="shared" si="13"/>
        <v>0</v>
      </c>
      <c r="M36" s="861"/>
      <c r="N36" s="867"/>
      <c r="O36" s="863">
        <f t="shared" si="14"/>
        <v>0</v>
      </c>
      <c r="P36" s="861"/>
      <c r="Q36" s="867"/>
      <c r="R36" s="1025">
        <f t="shared" si="15"/>
        <v>0</v>
      </c>
      <c r="T36" s="875"/>
    </row>
    <row r="37" spans="1:20" ht="15.75">
      <c r="A37" s="1023"/>
      <c r="B37" s="865" t="s">
        <v>919</v>
      </c>
      <c r="C37" s="860">
        <v>1</v>
      </c>
      <c r="D37" s="867"/>
      <c r="E37" s="867"/>
      <c r="F37" s="863">
        <f t="shared" si="11"/>
        <v>0</v>
      </c>
      <c r="G37" s="861"/>
      <c r="H37" s="867"/>
      <c r="I37" s="863">
        <f t="shared" si="12"/>
        <v>0</v>
      </c>
      <c r="J37" s="861"/>
      <c r="K37" s="867"/>
      <c r="L37" s="863">
        <f>IF(J37=0,0,IF(K37=0,0,PRODUCT(J37,K37/1000)))</f>
        <v>0</v>
      </c>
      <c r="M37" s="861"/>
      <c r="N37" s="867"/>
      <c r="O37" s="863">
        <f t="shared" si="14"/>
        <v>0</v>
      </c>
      <c r="P37" s="861"/>
      <c r="Q37" s="867"/>
      <c r="R37" s="1025">
        <f t="shared" si="15"/>
        <v>0</v>
      </c>
      <c r="T37" s="875"/>
    </row>
    <row r="38" spans="1:20" ht="15.75">
      <c r="A38" s="1023"/>
      <c r="B38" s="865" t="s">
        <v>919</v>
      </c>
      <c r="C38" s="860">
        <v>1</v>
      </c>
      <c r="D38" s="867"/>
      <c r="E38" s="867"/>
      <c r="F38" s="863">
        <f t="shared" si="11"/>
        <v>0</v>
      </c>
      <c r="G38" s="867"/>
      <c r="H38" s="867"/>
      <c r="I38" s="863">
        <f t="shared" si="12"/>
        <v>0</v>
      </c>
      <c r="J38" s="867"/>
      <c r="K38" s="867"/>
      <c r="L38" s="863">
        <f t="shared" ref="L38:L40" si="16">IF(J38=0,0,IF(K38=0,0,PRODUCT(J38,K38/1000)))</f>
        <v>0</v>
      </c>
      <c r="M38" s="867"/>
      <c r="N38" s="867"/>
      <c r="O38" s="863">
        <f t="shared" si="14"/>
        <v>0</v>
      </c>
      <c r="P38" s="867"/>
      <c r="Q38" s="867"/>
      <c r="R38" s="1025">
        <f t="shared" si="15"/>
        <v>0</v>
      </c>
      <c r="T38" s="875"/>
    </row>
    <row r="39" spans="1:20" ht="15.75">
      <c r="A39" s="1023"/>
      <c r="B39" s="865" t="s">
        <v>919</v>
      </c>
      <c r="C39" s="860">
        <v>1</v>
      </c>
      <c r="D39" s="867"/>
      <c r="E39" s="867"/>
      <c r="F39" s="863">
        <f t="shared" si="11"/>
        <v>0</v>
      </c>
      <c r="G39" s="867"/>
      <c r="H39" s="867"/>
      <c r="I39" s="863">
        <f t="shared" si="12"/>
        <v>0</v>
      </c>
      <c r="J39" s="861"/>
      <c r="K39" s="867"/>
      <c r="L39" s="863">
        <f t="shared" si="16"/>
        <v>0</v>
      </c>
      <c r="M39" s="861"/>
      <c r="N39" s="867"/>
      <c r="O39" s="863">
        <f t="shared" si="14"/>
        <v>0</v>
      </c>
      <c r="P39" s="861"/>
      <c r="Q39" s="867"/>
      <c r="R39" s="1025">
        <f t="shared" si="15"/>
        <v>0</v>
      </c>
      <c r="T39" s="875"/>
    </row>
    <row r="40" spans="1:20" ht="15.75">
      <c r="A40" s="1023"/>
      <c r="B40" s="865"/>
      <c r="C40" s="860">
        <v>1</v>
      </c>
      <c r="D40" s="867"/>
      <c r="E40" s="867"/>
      <c r="F40" s="863">
        <f t="shared" si="11"/>
        <v>0</v>
      </c>
      <c r="G40" s="867"/>
      <c r="H40" s="867"/>
      <c r="I40" s="863">
        <f t="shared" si="12"/>
        <v>0</v>
      </c>
      <c r="J40" s="861"/>
      <c r="K40" s="867"/>
      <c r="L40" s="863">
        <f t="shared" si="16"/>
        <v>0</v>
      </c>
      <c r="M40" s="861"/>
      <c r="N40" s="867"/>
      <c r="O40" s="863">
        <f t="shared" si="14"/>
        <v>0</v>
      </c>
      <c r="P40" s="861"/>
      <c r="Q40" s="867"/>
      <c r="R40" s="1025">
        <f t="shared" si="15"/>
        <v>0</v>
      </c>
      <c r="T40" s="875"/>
    </row>
    <row r="41" spans="1:20" ht="15.75">
      <c r="A41" s="1026"/>
      <c r="B41" s="869" t="s">
        <v>942</v>
      </c>
      <c r="C41" s="870">
        <v>1</v>
      </c>
      <c r="D41" s="872"/>
      <c r="E41" s="871">
        <f>SUM(E31:E40)</f>
        <v>0</v>
      </c>
      <c r="F41" s="871">
        <f>SUM(F31:F40)</f>
        <v>0</v>
      </c>
      <c r="G41" s="872"/>
      <c r="H41" s="871">
        <f>SUM(H31:H40)</f>
        <v>0</v>
      </c>
      <c r="I41" s="871">
        <f>SUM(I31:I40)</f>
        <v>0</v>
      </c>
      <c r="J41" s="874"/>
      <c r="K41" s="873">
        <f>SUM(K31:K40)</f>
        <v>0</v>
      </c>
      <c r="L41" s="873">
        <f>SUM(L31:L40)</f>
        <v>0</v>
      </c>
      <c r="M41" s="872"/>
      <c r="N41" s="873">
        <f>SUM(N31:N40)</f>
        <v>0</v>
      </c>
      <c r="O41" s="871">
        <f>SUM(O31:O40)</f>
        <v>0</v>
      </c>
      <c r="P41" s="872"/>
      <c r="Q41" s="873">
        <f>SUM(Q31:Q40)</f>
        <v>0</v>
      </c>
      <c r="R41" s="1027">
        <f>SUM(R31:R40)</f>
        <v>0</v>
      </c>
      <c r="T41" s="875"/>
    </row>
    <row r="42" spans="1:20" ht="45">
      <c r="A42" s="1023">
        <v>7</v>
      </c>
      <c r="B42" s="859" t="s">
        <v>922</v>
      </c>
      <c r="C42" s="860">
        <v>1</v>
      </c>
      <c r="D42" s="862" t="s">
        <v>938</v>
      </c>
      <c r="E42" s="864" t="s">
        <v>939</v>
      </c>
      <c r="F42" s="863" t="s">
        <v>933</v>
      </c>
      <c r="G42" s="862" t="s">
        <v>938</v>
      </c>
      <c r="H42" s="864" t="s">
        <v>939</v>
      </c>
      <c r="I42" s="863" t="s">
        <v>933</v>
      </c>
      <c r="J42" s="862" t="s">
        <v>938</v>
      </c>
      <c r="K42" s="864" t="s">
        <v>939</v>
      </c>
      <c r="L42" s="863" t="s">
        <v>933</v>
      </c>
      <c r="M42" s="862" t="s">
        <v>938</v>
      </c>
      <c r="N42" s="864" t="s">
        <v>939</v>
      </c>
      <c r="O42" s="863" t="s">
        <v>933</v>
      </c>
      <c r="P42" s="862" t="s">
        <v>938</v>
      </c>
      <c r="Q42" s="864" t="s">
        <v>939</v>
      </c>
      <c r="R42" s="1025" t="s">
        <v>933</v>
      </c>
      <c r="T42" s="875"/>
    </row>
    <row r="43" spans="1:20" ht="15.75">
      <c r="A43" s="1023"/>
      <c r="B43" s="865" t="s">
        <v>922</v>
      </c>
      <c r="C43" s="860">
        <v>1</v>
      </c>
      <c r="D43" s="867"/>
      <c r="E43" s="867"/>
      <c r="F43" s="863">
        <f t="shared" ref="F43:F52" si="17">IF(D43=0,0,IF(E43=0,0,PRODUCT(D43,E43/1000)))</f>
        <v>0</v>
      </c>
      <c r="G43" s="861">
        <v>69400</v>
      </c>
      <c r="H43" s="868"/>
      <c r="I43" s="863">
        <f t="shared" ref="I43:I52" si="18">IF(G43=0,0,IF(H43=0,0,PRODUCT(G43,H43/1000)))</f>
        <v>0</v>
      </c>
      <c r="J43" s="861">
        <v>69400</v>
      </c>
      <c r="K43" s="868"/>
      <c r="L43" s="863">
        <f t="shared" ref="L43:L52" si="19">IF(J43=0,0,IF(K43=0,0,PRODUCT(J43,K43/1000)))</f>
        <v>0</v>
      </c>
      <c r="M43" s="861">
        <v>69400</v>
      </c>
      <c r="N43" s="868"/>
      <c r="O43" s="863">
        <f t="shared" ref="O43:O52" si="20">IF(M43=0,0,IF(N43=0,0,PRODUCT(M43,N43/1000)))</f>
        <v>0</v>
      </c>
      <c r="P43" s="861">
        <v>69400</v>
      </c>
      <c r="Q43" s="868"/>
      <c r="R43" s="1025">
        <f t="shared" ref="R43:R52" si="21">IF(P43=0,0,IF(Q43=0,0,PRODUCT(P43,Q43/1000)))</f>
        <v>0</v>
      </c>
      <c r="T43" s="875"/>
    </row>
    <row r="44" spans="1:20" ht="15.75">
      <c r="A44" s="1023"/>
      <c r="B44" s="865" t="s">
        <v>922</v>
      </c>
      <c r="C44" s="860">
        <v>1</v>
      </c>
      <c r="D44" s="867"/>
      <c r="E44" s="867"/>
      <c r="F44" s="863">
        <f t="shared" si="17"/>
        <v>0</v>
      </c>
      <c r="G44" s="861"/>
      <c r="H44" s="867"/>
      <c r="I44" s="863">
        <f t="shared" si="18"/>
        <v>0</v>
      </c>
      <c r="J44" s="861"/>
      <c r="K44" s="867"/>
      <c r="L44" s="863">
        <f t="shared" si="19"/>
        <v>0</v>
      </c>
      <c r="M44" s="861"/>
      <c r="N44" s="867"/>
      <c r="O44" s="863">
        <f t="shared" si="20"/>
        <v>0</v>
      </c>
      <c r="P44" s="861"/>
      <c r="Q44" s="867"/>
      <c r="R44" s="1025">
        <f t="shared" si="21"/>
        <v>0</v>
      </c>
      <c r="T44" s="875"/>
    </row>
    <row r="45" spans="1:20" ht="15.75">
      <c r="A45" s="1023"/>
      <c r="B45" s="865" t="s">
        <v>922</v>
      </c>
      <c r="C45" s="860">
        <v>1</v>
      </c>
      <c r="D45" s="867"/>
      <c r="E45" s="867"/>
      <c r="F45" s="863">
        <f t="shared" si="17"/>
        <v>0</v>
      </c>
      <c r="G45" s="861"/>
      <c r="H45" s="867"/>
      <c r="I45" s="863">
        <f t="shared" si="18"/>
        <v>0</v>
      </c>
      <c r="J45" s="861"/>
      <c r="K45" s="867"/>
      <c r="L45" s="863">
        <f t="shared" si="19"/>
        <v>0</v>
      </c>
      <c r="M45" s="861"/>
      <c r="N45" s="867"/>
      <c r="O45" s="863">
        <f t="shared" si="20"/>
        <v>0</v>
      </c>
      <c r="P45" s="861"/>
      <c r="Q45" s="867"/>
      <c r="R45" s="1025">
        <f t="shared" si="21"/>
        <v>0</v>
      </c>
      <c r="T45" s="875"/>
    </row>
    <row r="46" spans="1:20" ht="15.75">
      <c r="A46" s="1023"/>
      <c r="B46" s="865" t="s">
        <v>922</v>
      </c>
      <c r="C46" s="860">
        <v>1</v>
      </c>
      <c r="D46" s="867"/>
      <c r="E46" s="867"/>
      <c r="F46" s="863">
        <f t="shared" si="17"/>
        <v>0</v>
      </c>
      <c r="G46" s="861"/>
      <c r="H46" s="867"/>
      <c r="I46" s="863">
        <f t="shared" si="18"/>
        <v>0</v>
      </c>
      <c r="J46" s="861"/>
      <c r="K46" s="867"/>
      <c r="L46" s="863">
        <f t="shared" si="19"/>
        <v>0</v>
      </c>
      <c r="M46" s="861"/>
      <c r="N46" s="867"/>
      <c r="O46" s="863">
        <f t="shared" si="20"/>
        <v>0</v>
      </c>
      <c r="P46" s="861"/>
      <c r="Q46" s="867"/>
      <c r="R46" s="1025">
        <f t="shared" si="21"/>
        <v>0</v>
      </c>
      <c r="T46" s="875"/>
    </row>
    <row r="47" spans="1:20" ht="15.75">
      <c r="A47" s="1023"/>
      <c r="B47" s="865" t="s">
        <v>922</v>
      </c>
      <c r="C47" s="860">
        <v>1</v>
      </c>
      <c r="D47" s="867"/>
      <c r="E47" s="867"/>
      <c r="F47" s="863">
        <f t="shared" si="17"/>
        <v>0</v>
      </c>
      <c r="G47" s="861"/>
      <c r="H47" s="867"/>
      <c r="I47" s="863">
        <f t="shared" si="18"/>
        <v>0</v>
      </c>
      <c r="J47" s="861"/>
      <c r="K47" s="867"/>
      <c r="L47" s="863">
        <f t="shared" si="19"/>
        <v>0</v>
      </c>
      <c r="M47" s="861"/>
      <c r="N47" s="867"/>
      <c r="O47" s="863">
        <f t="shared" si="20"/>
        <v>0</v>
      </c>
      <c r="P47" s="861"/>
      <c r="Q47" s="867"/>
      <c r="R47" s="1025">
        <f t="shared" si="21"/>
        <v>0</v>
      </c>
      <c r="T47" s="875"/>
    </row>
    <row r="48" spans="1:20" ht="15.75">
      <c r="A48" s="1023"/>
      <c r="B48" s="865" t="s">
        <v>922</v>
      </c>
      <c r="C48" s="860">
        <v>1</v>
      </c>
      <c r="D48" s="867"/>
      <c r="E48" s="867"/>
      <c r="F48" s="863">
        <f t="shared" si="17"/>
        <v>0</v>
      </c>
      <c r="G48" s="861"/>
      <c r="H48" s="867"/>
      <c r="I48" s="863">
        <f t="shared" si="18"/>
        <v>0</v>
      </c>
      <c r="J48" s="861"/>
      <c r="K48" s="867"/>
      <c r="L48" s="863">
        <f t="shared" si="19"/>
        <v>0</v>
      </c>
      <c r="M48" s="861"/>
      <c r="N48" s="867"/>
      <c r="O48" s="863">
        <f t="shared" si="20"/>
        <v>0</v>
      </c>
      <c r="P48" s="861"/>
      <c r="Q48" s="867"/>
      <c r="R48" s="1025">
        <f t="shared" si="21"/>
        <v>0</v>
      </c>
      <c r="T48" s="875"/>
    </row>
    <row r="49" spans="1:20" ht="15.75">
      <c r="A49" s="1023"/>
      <c r="B49" s="865" t="s">
        <v>922</v>
      </c>
      <c r="C49" s="860">
        <v>1</v>
      </c>
      <c r="D49" s="867"/>
      <c r="E49" s="867"/>
      <c r="F49" s="863">
        <f t="shared" si="17"/>
        <v>0</v>
      </c>
      <c r="G49" s="861"/>
      <c r="H49" s="867"/>
      <c r="I49" s="863">
        <f t="shared" si="18"/>
        <v>0</v>
      </c>
      <c r="J49" s="861"/>
      <c r="K49" s="867"/>
      <c r="L49" s="863">
        <f>IF(J49=0,0,IF(K49=0,0,PRODUCT(J49,K49/1000)))</f>
        <v>0</v>
      </c>
      <c r="M49" s="861"/>
      <c r="N49" s="867"/>
      <c r="O49" s="863">
        <f t="shared" si="20"/>
        <v>0</v>
      </c>
      <c r="P49" s="861"/>
      <c r="Q49" s="867"/>
      <c r="R49" s="1025">
        <f t="shared" si="21"/>
        <v>0</v>
      </c>
      <c r="T49" s="875"/>
    </row>
    <row r="50" spans="1:20" ht="15.75">
      <c r="A50" s="1023"/>
      <c r="B50" s="865" t="s">
        <v>922</v>
      </c>
      <c r="C50" s="860">
        <v>1</v>
      </c>
      <c r="D50" s="867"/>
      <c r="E50" s="867"/>
      <c r="F50" s="863">
        <f t="shared" si="17"/>
        <v>0</v>
      </c>
      <c r="G50" s="867"/>
      <c r="H50" s="867"/>
      <c r="I50" s="863">
        <f t="shared" si="18"/>
        <v>0</v>
      </c>
      <c r="J50" s="867"/>
      <c r="K50" s="867"/>
      <c r="L50" s="863">
        <f t="shared" si="19"/>
        <v>0</v>
      </c>
      <c r="M50" s="867"/>
      <c r="N50" s="867"/>
      <c r="O50" s="863">
        <f t="shared" si="20"/>
        <v>0</v>
      </c>
      <c r="P50" s="867"/>
      <c r="Q50" s="867"/>
      <c r="R50" s="1025">
        <f t="shared" si="21"/>
        <v>0</v>
      </c>
      <c r="T50" s="875"/>
    </row>
    <row r="51" spans="1:20" ht="15.75">
      <c r="A51" s="1023"/>
      <c r="B51" s="865" t="s">
        <v>922</v>
      </c>
      <c r="C51" s="860">
        <v>1</v>
      </c>
      <c r="D51" s="867"/>
      <c r="E51" s="867"/>
      <c r="F51" s="863">
        <f t="shared" si="17"/>
        <v>0</v>
      </c>
      <c r="G51" s="861"/>
      <c r="H51" s="867"/>
      <c r="I51" s="863">
        <f t="shared" si="18"/>
        <v>0</v>
      </c>
      <c r="J51" s="861"/>
      <c r="K51" s="867"/>
      <c r="L51" s="863">
        <f t="shared" si="19"/>
        <v>0</v>
      </c>
      <c r="M51" s="861"/>
      <c r="N51" s="867"/>
      <c r="O51" s="863">
        <f t="shared" si="20"/>
        <v>0</v>
      </c>
      <c r="P51" s="861"/>
      <c r="Q51" s="867"/>
      <c r="R51" s="1025">
        <f t="shared" si="21"/>
        <v>0</v>
      </c>
      <c r="T51" s="875"/>
    </row>
    <row r="52" spans="1:20" ht="15.75">
      <c r="A52" s="1023"/>
      <c r="B52" s="865"/>
      <c r="C52" s="860">
        <v>1</v>
      </c>
      <c r="D52" s="867"/>
      <c r="E52" s="867"/>
      <c r="F52" s="863">
        <f t="shared" si="17"/>
        <v>0</v>
      </c>
      <c r="G52" s="861"/>
      <c r="H52" s="867"/>
      <c r="I52" s="863">
        <f t="shared" si="18"/>
        <v>0</v>
      </c>
      <c r="J52" s="861"/>
      <c r="K52" s="867"/>
      <c r="L52" s="863">
        <f t="shared" si="19"/>
        <v>0</v>
      </c>
      <c r="M52" s="861"/>
      <c r="N52" s="867"/>
      <c r="O52" s="863">
        <f t="shared" si="20"/>
        <v>0</v>
      </c>
      <c r="P52" s="861"/>
      <c r="Q52" s="867"/>
      <c r="R52" s="1025">
        <f t="shared" si="21"/>
        <v>0</v>
      </c>
      <c r="T52" s="875"/>
    </row>
    <row r="53" spans="1:20" ht="15.75">
      <c r="A53" s="1026"/>
      <c r="B53" s="869" t="s">
        <v>942</v>
      </c>
      <c r="C53" s="870">
        <v>1</v>
      </c>
      <c r="D53" s="872"/>
      <c r="E53" s="871">
        <f>SUM(E43:E52)</f>
        <v>0</v>
      </c>
      <c r="F53" s="871">
        <f>SUM(F43:F52)</f>
        <v>0</v>
      </c>
      <c r="G53" s="872"/>
      <c r="H53" s="871">
        <f>SUM(H43:H52)</f>
        <v>0</v>
      </c>
      <c r="I53" s="871">
        <f>SUM(I43:I52)</f>
        <v>0</v>
      </c>
      <c r="J53" s="874"/>
      <c r="K53" s="873">
        <f>SUM(K43:K52)</f>
        <v>0</v>
      </c>
      <c r="L53" s="873">
        <f>SUM(L43:L52)</f>
        <v>0</v>
      </c>
      <c r="M53" s="872"/>
      <c r="N53" s="873">
        <f>SUM(N43:N52)</f>
        <v>0</v>
      </c>
      <c r="O53" s="871">
        <f>SUM(O43:O52)</f>
        <v>0</v>
      </c>
      <c r="P53" s="872"/>
      <c r="Q53" s="873">
        <f>SUM(Q43:Q52)</f>
        <v>0</v>
      </c>
      <c r="R53" s="1027">
        <f>SUM(R43:R52)</f>
        <v>0</v>
      </c>
      <c r="T53" s="875"/>
    </row>
    <row r="54" spans="1:20" ht="45">
      <c r="A54" s="1023">
        <v>8</v>
      </c>
      <c r="B54" s="859" t="s">
        <v>233</v>
      </c>
      <c r="C54" s="860">
        <v>1</v>
      </c>
      <c r="D54" s="862" t="s">
        <v>938</v>
      </c>
      <c r="E54" s="864" t="s">
        <v>939</v>
      </c>
      <c r="F54" s="863" t="s">
        <v>933</v>
      </c>
      <c r="G54" s="862" t="s">
        <v>938</v>
      </c>
      <c r="H54" s="864" t="s">
        <v>939</v>
      </c>
      <c r="I54" s="863" t="s">
        <v>933</v>
      </c>
      <c r="J54" s="862" t="s">
        <v>938</v>
      </c>
      <c r="K54" s="864" t="s">
        <v>939</v>
      </c>
      <c r="L54" s="863" t="s">
        <v>933</v>
      </c>
      <c r="M54" s="862" t="s">
        <v>938</v>
      </c>
      <c r="N54" s="864" t="s">
        <v>939</v>
      </c>
      <c r="O54" s="863" t="s">
        <v>933</v>
      </c>
      <c r="P54" s="862" t="s">
        <v>938</v>
      </c>
      <c r="Q54" s="864" t="s">
        <v>939</v>
      </c>
      <c r="R54" s="1025" t="s">
        <v>933</v>
      </c>
      <c r="T54" s="875"/>
    </row>
    <row r="55" spans="1:20" ht="15.75">
      <c r="A55" s="1023"/>
      <c r="B55" s="865" t="s">
        <v>969</v>
      </c>
      <c r="C55" s="860">
        <v>1</v>
      </c>
      <c r="D55" s="867">
        <v>27000</v>
      </c>
      <c r="E55" s="867"/>
      <c r="F55" s="863">
        <f t="shared" ref="F55:F70" si="22">IF(D55=0,0,IF(E55=0,0,PRODUCT(D55,E55/1000)))</f>
        <v>0</v>
      </c>
      <c r="G55" s="861">
        <v>27000</v>
      </c>
      <c r="H55" s="1080"/>
      <c r="I55" s="863">
        <f t="shared" ref="I55:I70" si="23">IF(G55=0,0,IF(H55=0,0,PRODUCT(G55,H55/1000)))</f>
        <v>0</v>
      </c>
      <c r="J55" s="861">
        <v>27000</v>
      </c>
      <c r="K55" s="1080"/>
      <c r="L55" s="863">
        <f t="shared" ref="L55:L70" si="24">IF(J55=0,0,IF(K55=0,0,PRODUCT(J55,K55/1000)))</f>
        <v>0</v>
      </c>
      <c r="M55" s="861">
        <v>27000</v>
      </c>
      <c r="N55" s="1080"/>
      <c r="O55" s="863">
        <f t="shared" ref="O55:O70" si="25">IF(M55=0,0,IF(N55=0,0,PRODUCT(M55,N55/1000)))</f>
        <v>0</v>
      </c>
      <c r="P55" s="861">
        <v>27000</v>
      </c>
      <c r="Q55" s="1080"/>
      <c r="R55" s="1025">
        <f t="shared" ref="R55:R70" si="26">IF(P55=0,0,IF(Q55=0,0,PRODUCT(P55,Q55/1000)))</f>
        <v>0</v>
      </c>
      <c r="T55" s="875"/>
    </row>
    <row r="56" spans="1:20" ht="15.75">
      <c r="A56" s="1023"/>
      <c r="B56" s="865" t="s">
        <v>969</v>
      </c>
      <c r="C56" s="860">
        <v>1</v>
      </c>
      <c r="D56" s="867">
        <v>31200</v>
      </c>
      <c r="E56" s="867"/>
      <c r="F56" s="863">
        <f t="shared" si="22"/>
        <v>0</v>
      </c>
      <c r="G56" s="867">
        <v>28080</v>
      </c>
      <c r="H56" s="1080"/>
      <c r="I56" s="863">
        <f t="shared" si="23"/>
        <v>0</v>
      </c>
      <c r="J56" s="861">
        <v>28080</v>
      </c>
      <c r="K56" s="1080"/>
      <c r="L56" s="863">
        <f t="shared" si="24"/>
        <v>0</v>
      </c>
      <c r="M56" s="861">
        <v>28080</v>
      </c>
      <c r="N56" s="1080"/>
      <c r="O56" s="863">
        <f t="shared" si="25"/>
        <v>0</v>
      </c>
      <c r="P56" s="861">
        <v>28080</v>
      </c>
      <c r="Q56" s="1080"/>
      <c r="R56" s="1025">
        <f t="shared" si="26"/>
        <v>0</v>
      </c>
      <c r="T56" s="875">
        <v>90</v>
      </c>
    </row>
    <row r="57" spans="1:20" ht="15.75">
      <c r="A57" s="1023"/>
      <c r="B57" s="865" t="s">
        <v>969</v>
      </c>
      <c r="C57" s="860">
        <v>1</v>
      </c>
      <c r="D57" s="867">
        <v>33750</v>
      </c>
      <c r="E57" s="867"/>
      <c r="F57" s="863">
        <f t="shared" si="22"/>
        <v>0</v>
      </c>
      <c r="G57" s="867">
        <v>33750</v>
      </c>
      <c r="H57" s="1080"/>
      <c r="I57" s="863">
        <f t="shared" si="23"/>
        <v>0</v>
      </c>
      <c r="J57" s="861">
        <v>33750</v>
      </c>
      <c r="K57" s="1080"/>
      <c r="L57" s="863">
        <f t="shared" si="24"/>
        <v>0</v>
      </c>
      <c r="M57" s="861">
        <v>33750</v>
      </c>
      <c r="N57" s="1080"/>
      <c r="O57" s="863">
        <f t="shared" si="25"/>
        <v>0</v>
      </c>
      <c r="P57" s="861">
        <v>33750</v>
      </c>
      <c r="Q57" s="1080"/>
      <c r="R57" s="1025">
        <f t="shared" si="26"/>
        <v>0</v>
      </c>
      <c r="T57" s="875"/>
    </row>
    <row r="58" spans="1:20" ht="15.75">
      <c r="A58" s="1023"/>
      <c r="B58" s="865" t="s">
        <v>969</v>
      </c>
      <c r="C58" s="860">
        <v>1</v>
      </c>
      <c r="D58" s="867">
        <v>35100</v>
      </c>
      <c r="E58" s="867"/>
      <c r="F58" s="863">
        <f t="shared" si="22"/>
        <v>0</v>
      </c>
      <c r="G58" s="867">
        <v>35100</v>
      </c>
      <c r="H58" s="1080"/>
      <c r="I58" s="863">
        <f t="shared" si="23"/>
        <v>0</v>
      </c>
      <c r="J58" s="861">
        <v>35100</v>
      </c>
      <c r="K58" s="1080"/>
      <c r="L58" s="863">
        <f t="shared" si="24"/>
        <v>0</v>
      </c>
      <c r="M58" s="861">
        <v>35100</v>
      </c>
      <c r="N58" s="1080"/>
      <c r="O58" s="863">
        <f t="shared" si="25"/>
        <v>0</v>
      </c>
      <c r="P58" s="861">
        <v>35100</v>
      </c>
      <c r="Q58" s="1080"/>
      <c r="R58" s="1025">
        <f t="shared" si="26"/>
        <v>0</v>
      </c>
      <c r="T58" s="875">
        <v>390</v>
      </c>
    </row>
    <row r="59" spans="1:20" ht="15.75">
      <c r="A59" s="1023"/>
      <c r="B59" s="865" t="s">
        <v>969</v>
      </c>
      <c r="C59" s="860">
        <v>1</v>
      </c>
      <c r="D59" s="867"/>
      <c r="E59" s="867"/>
      <c r="F59" s="863"/>
      <c r="G59" s="867">
        <v>36495</v>
      </c>
      <c r="H59" s="1080"/>
      <c r="I59" s="863">
        <f t="shared" si="23"/>
        <v>0</v>
      </c>
      <c r="J59" s="861"/>
      <c r="K59" s="1080"/>
      <c r="L59" s="863">
        <f t="shared" si="24"/>
        <v>0</v>
      </c>
      <c r="M59" s="861"/>
      <c r="N59" s="1080"/>
      <c r="O59" s="863">
        <f t="shared" si="25"/>
        <v>0</v>
      </c>
      <c r="P59" s="861"/>
      <c r="Q59" s="1080"/>
      <c r="R59" s="1025">
        <f t="shared" si="26"/>
        <v>0</v>
      </c>
      <c r="T59" s="875"/>
    </row>
    <row r="60" spans="1:20" ht="15.75">
      <c r="A60" s="1023"/>
      <c r="B60" s="865" t="s">
        <v>969</v>
      </c>
      <c r="C60" s="860">
        <v>1</v>
      </c>
      <c r="D60" s="867">
        <v>38250</v>
      </c>
      <c r="E60" s="867"/>
      <c r="F60" s="863">
        <f t="shared" si="22"/>
        <v>0</v>
      </c>
      <c r="G60" s="867">
        <v>38250</v>
      </c>
      <c r="H60" s="1080"/>
      <c r="I60" s="863">
        <f t="shared" si="23"/>
        <v>0</v>
      </c>
      <c r="J60" s="861">
        <v>38250</v>
      </c>
      <c r="K60" s="1080"/>
      <c r="L60" s="863">
        <f t="shared" si="24"/>
        <v>0</v>
      </c>
      <c r="M60" s="861">
        <v>38250</v>
      </c>
      <c r="N60" s="1080"/>
      <c r="O60" s="863">
        <f t="shared" si="25"/>
        <v>0</v>
      </c>
      <c r="P60" s="861">
        <v>38250</v>
      </c>
      <c r="Q60" s="1080"/>
      <c r="R60" s="1025">
        <f t="shared" si="26"/>
        <v>0</v>
      </c>
      <c r="T60" s="875"/>
    </row>
    <row r="61" spans="1:20" ht="15.75">
      <c r="A61" s="1023"/>
      <c r="B61" s="865" t="s">
        <v>969</v>
      </c>
      <c r="C61" s="860">
        <v>1</v>
      </c>
      <c r="D61" s="867">
        <v>39780</v>
      </c>
      <c r="E61" s="867"/>
      <c r="F61" s="863">
        <f t="shared" si="22"/>
        <v>0</v>
      </c>
      <c r="G61" s="867">
        <v>39780</v>
      </c>
      <c r="H61" s="1080"/>
      <c r="I61" s="863">
        <f t="shared" si="23"/>
        <v>0</v>
      </c>
      <c r="J61" s="867">
        <v>39780</v>
      </c>
      <c r="K61" s="1080"/>
      <c r="L61" s="863">
        <f t="shared" si="24"/>
        <v>0</v>
      </c>
      <c r="M61" s="867">
        <v>39780</v>
      </c>
      <c r="N61" s="1080"/>
      <c r="O61" s="863">
        <f t="shared" si="25"/>
        <v>0</v>
      </c>
      <c r="P61" s="867">
        <v>39780</v>
      </c>
      <c r="Q61" s="1080"/>
      <c r="R61" s="1025">
        <f t="shared" si="26"/>
        <v>0</v>
      </c>
      <c r="T61" s="875">
        <v>580</v>
      </c>
    </row>
    <row r="62" spans="1:20" ht="15.75">
      <c r="A62" s="1023"/>
      <c r="B62" s="865" t="s">
        <v>969</v>
      </c>
      <c r="C62" s="860">
        <v>1</v>
      </c>
      <c r="D62" s="867">
        <v>41600</v>
      </c>
      <c r="E62" s="867"/>
      <c r="F62" s="863">
        <f t="shared" si="22"/>
        <v>0</v>
      </c>
      <c r="G62" s="867">
        <v>41400</v>
      </c>
      <c r="H62" s="1080"/>
      <c r="I62" s="863">
        <f t="shared" si="23"/>
        <v>0</v>
      </c>
      <c r="J62" s="867">
        <v>42916</v>
      </c>
      <c r="K62" s="1080"/>
      <c r="L62" s="863">
        <f t="shared" si="24"/>
        <v>0</v>
      </c>
      <c r="M62" s="867">
        <v>42916</v>
      </c>
      <c r="N62" s="1080"/>
      <c r="O62" s="863">
        <f t="shared" si="25"/>
        <v>0</v>
      </c>
      <c r="P62" s="867">
        <v>42916</v>
      </c>
      <c r="Q62" s="1080"/>
      <c r="R62" s="1025">
        <f t="shared" si="26"/>
        <v>0</v>
      </c>
      <c r="T62" s="875"/>
    </row>
    <row r="63" spans="1:20" ht="15.75">
      <c r="A63" s="1023"/>
      <c r="B63" s="865" t="s">
        <v>969</v>
      </c>
      <c r="C63" s="860">
        <v>1</v>
      </c>
      <c r="D63" s="867">
        <v>42916</v>
      </c>
      <c r="E63" s="867"/>
      <c r="F63" s="863">
        <f t="shared" si="22"/>
        <v>0</v>
      </c>
      <c r="G63" s="867">
        <v>42916</v>
      </c>
      <c r="H63" s="1080"/>
      <c r="I63" s="863">
        <f t="shared" si="23"/>
        <v>0</v>
      </c>
      <c r="J63" s="867"/>
      <c r="K63" s="1080"/>
      <c r="L63" s="863">
        <f t="shared" si="24"/>
        <v>0</v>
      </c>
      <c r="M63" s="867">
        <v>49500</v>
      </c>
      <c r="N63" s="1080"/>
      <c r="O63" s="863">
        <f t="shared" si="25"/>
        <v>0</v>
      </c>
      <c r="P63" s="867">
        <v>49500</v>
      </c>
      <c r="Q63" s="1080"/>
      <c r="R63" s="1025">
        <f t="shared" si="26"/>
        <v>0</v>
      </c>
      <c r="T63" s="875">
        <v>220</v>
      </c>
    </row>
    <row r="64" spans="1:20" ht="15.75">
      <c r="A64" s="1023"/>
      <c r="B64" s="865" t="s">
        <v>969</v>
      </c>
      <c r="C64" s="860">
        <v>2</v>
      </c>
      <c r="D64" s="867">
        <v>49500</v>
      </c>
      <c r="E64" s="867"/>
      <c r="F64" s="863">
        <f t="shared" si="22"/>
        <v>0</v>
      </c>
      <c r="G64" s="867">
        <v>44640</v>
      </c>
      <c r="H64" s="1080"/>
      <c r="I64" s="863">
        <f t="shared" si="23"/>
        <v>0</v>
      </c>
      <c r="J64" s="867">
        <v>49500</v>
      </c>
      <c r="K64" s="1080"/>
      <c r="L64" s="863">
        <f t="shared" si="24"/>
        <v>0</v>
      </c>
      <c r="M64" s="861"/>
      <c r="N64" s="1080"/>
      <c r="O64" s="863">
        <f t="shared" si="25"/>
        <v>0</v>
      </c>
      <c r="P64" s="861"/>
      <c r="Q64" s="1080"/>
      <c r="R64" s="1025">
        <f t="shared" si="26"/>
        <v>0</v>
      </c>
      <c r="T64" s="875">
        <f>SUM(T56:T63)</f>
        <v>1280</v>
      </c>
    </row>
    <row r="65" spans="1:20" ht="15.75">
      <c r="A65" s="1023"/>
      <c r="B65" s="865" t="s">
        <v>969</v>
      </c>
      <c r="C65" s="860">
        <v>1</v>
      </c>
      <c r="D65" s="867">
        <v>51480</v>
      </c>
      <c r="E65" s="867"/>
      <c r="F65" s="863">
        <f t="shared" si="22"/>
        <v>0</v>
      </c>
      <c r="G65" s="867">
        <v>49500</v>
      </c>
      <c r="H65" s="1080"/>
      <c r="I65" s="863">
        <f t="shared" si="23"/>
        <v>0</v>
      </c>
      <c r="J65" s="867">
        <v>51480</v>
      </c>
      <c r="K65" s="1080"/>
      <c r="L65" s="863">
        <f t="shared" si="24"/>
        <v>0</v>
      </c>
      <c r="M65" s="861"/>
      <c r="N65" s="1080"/>
      <c r="O65" s="863">
        <f t="shared" si="25"/>
        <v>0</v>
      </c>
      <c r="P65" s="861"/>
      <c r="Q65" s="1080"/>
      <c r="R65" s="1025">
        <f t="shared" si="26"/>
        <v>0</v>
      </c>
      <c r="T65" s="875"/>
    </row>
    <row r="66" spans="1:20" ht="15.75">
      <c r="A66" s="1023"/>
      <c r="B66" s="865" t="s">
        <v>968</v>
      </c>
      <c r="C66" s="860">
        <v>1</v>
      </c>
      <c r="D66" s="867">
        <v>52000</v>
      </c>
      <c r="E66" s="867"/>
      <c r="F66" s="863">
        <f t="shared" si="22"/>
        <v>0</v>
      </c>
      <c r="G66" s="867">
        <v>49500</v>
      </c>
      <c r="H66" s="1080"/>
      <c r="I66" s="863">
        <f t="shared" si="23"/>
        <v>0</v>
      </c>
      <c r="J66" s="867">
        <v>53550</v>
      </c>
      <c r="K66" s="1080"/>
      <c r="L66" s="863">
        <f t="shared" si="24"/>
        <v>0</v>
      </c>
      <c r="M66" s="861"/>
      <c r="N66" s="1080"/>
      <c r="O66" s="863">
        <f t="shared" si="25"/>
        <v>0</v>
      </c>
      <c r="P66" s="861"/>
      <c r="Q66" s="1080"/>
      <c r="R66" s="1025">
        <f t="shared" si="26"/>
        <v>0</v>
      </c>
      <c r="T66" s="875"/>
    </row>
    <row r="67" spans="1:20" ht="15.75">
      <c r="A67" s="1023"/>
      <c r="B67" s="865" t="s">
        <v>967</v>
      </c>
      <c r="C67" s="860"/>
      <c r="D67" s="867"/>
      <c r="E67" s="867"/>
      <c r="F67" s="863"/>
      <c r="G67" s="867">
        <v>51480</v>
      </c>
      <c r="H67" s="1080"/>
      <c r="I67" s="863">
        <f t="shared" si="23"/>
        <v>0</v>
      </c>
      <c r="J67" s="867">
        <v>67500</v>
      </c>
      <c r="K67" s="1080"/>
      <c r="L67" s="863">
        <f t="shared" si="24"/>
        <v>0</v>
      </c>
      <c r="M67" s="861"/>
      <c r="N67" s="1080"/>
      <c r="O67" s="863">
        <f t="shared" si="25"/>
        <v>0</v>
      </c>
      <c r="P67" s="861"/>
      <c r="Q67" s="1080"/>
      <c r="R67" s="1025">
        <f t="shared" si="26"/>
        <v>0</v>
      </c>
      <c r="T67" s="875"/>
    </row>
    <row r="68" spans="1:20" ht="15.75">
      <c r="A68" s="1023"/>
      <c r="B68" s="865" t="s">
        <v>967</v>
      </c>
      <c r="C68" s="860"/>
      <c r="D68" s="867"/>
      <c r="E68" s="867"/>
      <c r="F68" s="863"/>
      <c r="G68" s="867">
        <v>53550</v>
      </c>
      <c r="H68" s="1080"/>
      <c r="I68" s="863">
        <f t="shared" si="23"/>
        <v>0</v>
      </c>
      <c r="J68" s="861">
        <v>72000</v>
      </c>
      <c r="K68" s="1080"/>
      <c r="L68" s="863">
        <f t="shared" si="24"/>
        <v>0</v>
      </c>
      <c r="M68" s="861"/>
      <c r="N68" s="1080"/>
      <c r="O68" s="863">
        <f t="shared" si="25"/>
        <v>0</v>
      </c>
      <c r="P68" s="861"/>
      <c r="Q68" s="1080"/>
      <c r="R68" s="1025">
        <f t="shared" si="26"/>
        <v>0</v>
      </c>
      <c r="T68" s="875"/>
    </row>
    <row r="69" spans="1:20" ht="15.75">
      <c r="A69" s="1023"/>
      <c r="B69" s="865" t="s">
        <v>967</v>
      </c>
      <c r="C69" s="860">
        <v>1</v>
      </c>
      <c r="D69" s="867">
        <v>67500</v>
      </c>
      <c r="E69" s="867"/>
      <c r="F69" s="863">
        <f t="shared" si="22"/>
        <v>0</v>
      </c>
      <c r="G69" s="867">
        <v>67500</v>
      </c>
      <c r="H69" s="1080"/>
      <c r="I69" s="863">
        <f t="shared" si="23"/>
        <v>0</v>
      </c>
      <c r="J69" s="867">
        <v>90000</v>
      </c>
      <c r="K69" s="1080"/>
      <c r="L69" s="863">
        <f t="shared" si="24"/>
        <v>0</v>
      </c>
      <c r="M69" s="861"/>
      <c r="N69" s="1080"/>
      <c r="O69" s="863">
        <f t="shared" si="25"/>
        <v>0</v>
      </c>
      <c r="P69" s="861"/>
      <c r="Q69" s="1080"/>
      <c r="R69" s="1025">
        <f t="shared" si="26"/>
        <v>0</v>
      </c>
      <c r="T69" s="875"/>
    </row>
    <row r="70" spans="1:20" ht="15.75">
      <c r="A70" s="1023"/>
      <c r="B70" s="865" t="s">
        <v>969</v>
      </c>
      <c r="C70" s="860">
        <v>1</v>
      </c>
      <c r="D70" s="867">
        <v>72000</v>
      </c>
      <c r="E70" s="867"/>
      <c r="F70" s="863">
        <f t="shared" si="22"/>
        <v>0</v>
      </c>
      <c r="G70" s="861">
        <v>72000</v>
      </c>
      <c r="H70" s="1080"/>
      <c r="I70" s="863">
        <f t="shared" si="23"/>
        <v>0</v>
      </c>
      <c r="J70" s="861"/>
      <c r="K70" s="1080"/>
      <c r="L70" s="863">
        <f t="shared" si="24"/>
        <v>0</v>
      </c>
      <c r="M70" s="861"/>
      <c r="N70" s="1080"/>
      <c r="O70" s="863">
        <f t="shared" si="25"/>
        <v>0</v>
      </c>
      <c r="P70" s="861"/>
      <c r="Q70" s="1080"/>
      <c r="R70" s="1025">
        <f t="shared" si="26"/>
        <v>0</v>
      </c>
      <c r="T70" s="875"/>
    </row>
    <row r="71" spans="1:20" ht="15.75">
      <c r="A71" s="1026"/>
      <c r="B71" s="869" t="s">
        <v>943</v>
      </c>
      <c r="C71" s="870">
        <v>1</v>
      </c>
      <c r="D71" s="872"/>
      <c r="E71" s="871">
        <f>SUM(E55:E70)</f>
        <v>0</v>
      </c>
      <c r="F71" s="871">
        <f>SUM(F55:F70)</f>
        <v>0</v>
      </c>
      <c r="G71" s="872"/>
      <c r="H71" s="871">
        <f>SUM(H55:H70)</f>
        <v>0</v>
      </c>
      <c r="I71" s="871">
        <f>SUM(I55:I70)</f>
        <v>0</v>
      </c>
      <c r="J71" s="872"/>
      <c r="K71" s="871">
        <f>SUM(K55:K70)</f>
        <v>0</v>
      </c>
      <c r="L71" s="871">
        <f>SUM(L55:L70)</f>
        <v>0</v>
      </c>
      <c r="M71" s="872"/>
      <c r="N71" s="871">
        <f>SUM(N55:N70)</f>
        <v>0</v>
      </c>
      <c r="O71" s="871">
        <f>SUM(O55:O70)</f>
        <v>0</v>
      </c>
      <c r="P71" s="872"/>
      <c r="Q71" s="871">
        <f>SUM(Q55:Q70)</f>
        <v>0</v>
      </c>
      <c r="R71" s="1027">
        <f>SUM(R55:R70)</f>
        <v>0</v>
      </c>
      <c r="S71" s="875"/>
      <c r="T71" s="875"/>
    </row>
    <row r="72" spans="1:20" ht="15.75">
      <c r="A72" s="1028">
        <v>9</v>
      </c>
      <c r="B72" s="876" t="s">
        <v>944</v>
      </c>
      <c r="C72" s="877">
        <v>1</v>
      </c>
      <c r="D72" s="1078"/>
      <c r="E72" s="867"/>
      <c r="F72" s="867"/>
      <c r="G72" s="1078"/>
      <c r="H72" s="867"/>
      <c r="I72" s="867"/>
      <c r="J72" s="1078"/>
      <c r="K72" s="867"/>
      <c r="L72" s="867"/>
      <c r="M72" s="867"/>
      <c r="N72" s="867"/>
      <c r="O72" s="867"/>
      <c r="P72" s="867"/>
      <c r="Q72" s="867"/>
      <c r="R72" s="867"/>
      <c r="T72" s="875"/>
    </row>
    <row r="73" spans="1:20" ht="15.75">
      <c r="A73" s="1028">
        <v>10</v>
      </c>
      <c r="B73" s="876" t="s">
        <v>945</v>
      </c>
      <c r="C73" s="878">
        <v>1</v>
      </c>
      <c r="D73" s="1078"/>
      <c r="E73" s="867"/>
      <c r="F73" s="867"/>
      <c r="G73" s="1078"/>
      <c r="H73" s="867"/>
      <c r="I73" s="867"/>
      <c r="J73" s="1078"/>
      <c r="K73" s="867"/>
      <c r="L73" s="867"/>
      <c r="M73" s="867"/>
      <c r="N73" s="867"/>
      <c r="O73" s="867"/>
      <c r="P73" s="867"/>
      <c r="Q73" s="867"/>
      <c r="R73" s="1079"/>
      <c r="T73" s="875"/>
    </row>
    <row r="74" spans="1:20" ht="45">
      <c r="A74" s="1028">
        <v>11</v>
      </c>
      <c r="B74" s="879" t="s">
        <v>0</v>
      </c>
      <c r="C74" s="878">
        <v>1</v>
      </c>
      <c r="D74" s="880" t="s">
        <v>938</v>
      </c>
      <c r="E74" s="864" t="s">
        <v>939</v>
      </c>
      <c r="F74" s="881" t="s">
        <v>933</v>
      </c>
      <c r="G74" s="880" t="s">
        <v>938</v>
      </c>
      <c r="H74" s="864" t="s">
        <v>939</v>
      </c>
      <c r="I74" s="881" t="s">
        <v>933</v>
      </c>
      <c r="J74" s="880" t="s">
        <v>938</v>
      </c>
      <c r="K74" s="864" t="s">
        <v>939</v>
      </c>
      <c r="L74" s="881" t="s">
        <v>933</v>
      </c>
      <c r="M74" s="880" t="s">
        <v>938</v>
      </c>
      <c r="N74" s="864" t="s">
        <v>939</v>
      </c>
      <c r="O74" s="881" t="s">
        <v>933</v>
      </c>
      <c r="P74" s="880" t="s">
        <v>938</v>
      </c>
      <c r="Q74" s="864" t="s">
        <v>939</v>
      </c>
      <c r="R74" s="1029" t="s">
        <v>933</v>
      </c>
      <c r="T74" s="875"/>
    </row>
    <row r="75" spans="1:20" ht="15.75">
      <c r="A75" s="1028"/>
      <c r="B75" s="882" t="s">
        <v>1</v>
      </c>
      <c r="C75" s="878">
        <v>1</v>
      </c>
      <c r="D75" s="880">
        <v>2500</v>
      </c>
      <c r="E75" s="1081"/>
      <c r="F75" s="881">
        <f>IF(D75=0,0,IF(E75=0,0,PRODUCT(D75,E75/1000)))</f>
        <v>0</v>
      </c>
      <c r="G75" s="880">
        <v>2500</v>
      </c>
      <c r="H75" s="1081"/>
      <c r="I75" s="881">
        <f>IF(G75=0,0,IF(H75=0,0,PRODUCT(G75,H75/1000)))</f>
        <v>0</v>
      </c>
      <c r="J75" s="880">
        <v>2500</v>
      </c>
      <c r="K75" s="1081"/>
      <c r="L75" s="881">
        <f>IF(J75=0,0,IF(K75=0,0,PRODUCT(J75,K75/1000)))</f>
        <v>0</v>
      </c>
      <c r="M75" s="880">
        <v>2500</v>
      </c>
      <c r="N75" s="1081"/>
      <c r="O75" s="881">
        <f>IF(M75=0,0,IF(N75=0,0,PRODUCT(M75,N75/1000)))</f>
        <v>0</v>
      </c>
      <c r="P75" s="880">
        <v>2500</v>
      </c>
      <c r="Q75" s="1081"/>
      <c r="R75" s="1029">
        <f>IF(P75=0,0,IF(Q75=0,0,PRODUCT(P75,Q75/1000)))</f>
        <v>0</v>
      </c>
      <c r="T75" s="875"/>
    </row>
    <row r="76" spans="1:20" ht="15.75">
      <c r="A76" s="1028"/>
      <c r="B76" s="882" t="s">
        <v>1</v>
      </c>
      <c r="C76" s="878">
        <v>1</v>
      </c>
      <c r="D76" s="880">
        <v>1550</v>
      </c>
      <c r="E76" s="1081"/>
      <c r="F76" s="881">
        <f>IF(D76=0,0,IF(E76=0,0,PRODUCT(D76,E76/1000)))</f>
        <v>0</v>
      </c>
      <c r="G76" s="880">
        <v>1600</v>
      </c>
      <c r="H76" s="1081"/>
      <c r="I76" s="881">
        <f>IF(G76=0,0,IF(H76=0,0,PRODUCT(G76,H76/1000)))</f>
        <v>0</v>
      </c>
      <c r="J76" s="880">
        <v>1600</v>
      </c>
      <c r="K76" s="1081"/>
      <c r="L76" s="881">
        <f>IF(J76=0,0,IF(K76=0,0,PRODUCT(J76,K76/1000)))</f>
        <v>0</v>
      </c>
      <c r="M76" s="880">
        <v>1550</v>
      </c>
      <c r="N76" s="1081"/>
      <c r="O76" s="881">
        <f>IF(M76=0,0,IF(N76=0,0,PRODUCT(M76,N76/1000)))</f>
        <v>0</v>
      </c>
      <c r="P76" s="880">
        <v>1550</v>
      </c>
      <c r="Q76" s="1081"/>
      <c r="R76" s="1029">
        <f>IF(P76=0,0,IF(Q76=0,0,PRODUCT(P76,Q76/1000)))</f>
        <v>0</v>
      </c>
      <c r="T76" s="875"/>
    </row>
    <row r="77" spans="1:20" ht="15.75">
      <c r="A77" s="1026"/>
      <c r="B77" s="869" t="s">
        <v>2</v>
      </c>
      <c r="C77" s="870"/>
      <c r="D77" s="872"/>
      <c r="E77" s="871"/>
      <c r="F77" s="871">
        <f>SUM(F75:F76)</f>
        <v>0</v>
      </c>
      <c r="G77" s="872"/>
      <c r="H77" s="871"/>
      <c r="I77" s="871">
        <f>SUM(I75:I76)</f>
        <v>0</v>
      </c>
      <c r="J77" s="872"/>
      <c r="K77" s="871"/>
      <c r="L77" s="871">
        <f>SUM(L75:L76)</f>
        <v>0</v>
      </c>
      <c r="M77" s="872"/>
      <c r="N77" s="871"/>
      <c r="O77" s="871">
        <f>SUM(O75:O76)</f>
        <v>0</v>
      </c>
      <c r="P77" s="872"/>
      <c r="Q77" s="871"/>
      <c r="R77" s="871">
        <f>SUM(R75:R76)</f>
        <v>0</v>
      </c>
      <c r="T77" s="875"/>
    </row>
    <row r="78" spans="1:20" ht="15.75">
      <c r="A78" s="1028">
        <v>12</v>
      </c>
      <c r="B78" s="879" t="s">
        <v>3</v>
      </c>
      <c r="C78" s="878">
        <v>1</v>
      </c>
      <c r="D78" s="1078">
        <v>4000</v>
      </c>
      <c r="E78" s="867"/>
      <c r="F78" s="867">
        <f>IF(D78=0,0,IF(E78=0,0,PRODUCT(D78,E78/1000)))</f>
        <v>0</v>
      </c>
      <c r="G78" s="1078">
        <v>4000</v>
      </c>
      <c r="H78" s="867"/>
      <c r="I78" s="867">
        <f>IF(G78=0,0,IF(H78=0,0,PRODUCT(G78,H78/1000)))</f>
        <v>0</v>
      </c>
      <c r="J78" s="1078">
        <v>4000</v>
      </c>
      <c r="K78" s="867"/>
      <c r="L78" s="867">
        <f>IF(J78=0,0,IF(K78=0,0,PRODUCT(J78,K78/1000)))</f>
        <v>0</v>
      </c>
      <c r="M78" s="1078">
        <v>4000</v>
      </c>
      <c r="N78" s="867"/>
      <c r="O78" s="867">
        <v>0</v>
      </c>
      <c r="P78" s="1078">
        <v>4000</v>
      </c>
      <c r="Q78" s="867"/>
      <c r="R78" s="1079">
        <f>IF(P78=0,0,IF(Q78=0,0,PRODUCT(P78,Q78/1000)))</f>
        <v>0</v>
      </c>
      <c r="T78" s="875"/>
    </row>
    <row r="79" spans="1:20" ht="15.75">
      <c r="A79" s="1028">
        <v>13</v>
      </c>
      <c r="B79" s="879" t="s">
        <v>4</v>
      </c>
      <c r="C79" s="878">
        <v>1</v>
      </c>
      <c r="D79" s="867"/>
      <c r="E79" s="867"/>
      <c r="F79" s="867">
        <v>0</v>
      </c>
      <c r="G79" s="867"/>
      <c r="H79" s="867"/>
      <c r="I79" s="867">
        <v>0</v>
      </c>
      <c r="J79" s="867"/>
      <c r="K79" s="867"/>
      <c r="L79" s="867">
        <v>0</v>
      </c>
      <c r="M79" s="867"/>
      <c r="N79" s="867"/>
      <c r="O79" s="867">
        <v>0</v>
      </c>
      <c r="P79" s="867"/>
      <c r="Q79" s="867"/>
      <c r="R79" s="1079">
        <v>0</v>
      </c>
      <c r="T79" s="875"/>
    </row>
    <row r="80" spans="1:20" ht="15.75">
      <c r="A80" s="1028">
        <v>14</v>
      </c>
      <c r="B80" s="879" t="s">
        <v>5</v>
      </c>
      <c r="C80" s="878">
        <v>1</v>
      </c>
      <c r="D80" s="867"/>
      <c r="E80" s="867"/>
      <c r="F80" s="867">
        <v>0</v>
      </c>
      <c r="G80" s="867"/>
      <c r="H80" s="867"/>
      <c r="I80" s="867">
        <v>0</v>
      </c>
      <c r="J80" s="867"/>
      <c r="K80" s="867"/>
      <c r="L80" s="867">
        <v>0</v>
      </c>
      <c r="M80" s="867"/>
      <c r="N80" s="867"/>
      <c r="O80" s="867">
        <v>0</v>
      </c>
      <c r="P80" s="867"/>
      <c r="Q80" s="867"/>
      <c r="R80" s="1079">
        <v>0</v>
      </c>
      <c r="T80" s="875"/>
    </row>
    <row r="81" spans="1:20" ht="15.75">
      <c r="A81" s="1028">
        <v>15</v>
      </c>
      <c r="B81" s="879" t="s">
        <v>6</v>
      </c>
      <c r="C81" s="878">
        <v>1</v>
      </c>
      <c r="D81" s="867"/>
      <c r="E81" s="867"/>
      <c r="F81" s="867">
        <v>0</v>
      </c>
      <c r="G81" s="867"/>
      <c r="H81" s="867"/>
      <c r="I81" s="867">
        <v>0</v>
      </c>
      <c r="J81" s="867"/>
      <c r="K81" s="867"/>
      <c r="L81" s="867">
        <v>0</v>
      </c>
      <c r="M81" s="867"/>
      <c r="N81" s="867"/>
      <c r="O81" s="867">
        <v>0</v>
      </c>
      <c r="P81" s="867"/>
      <c r="Q81" s="867"/>
      <c r="R81" s="1079">
        <v>0</v>
      </c>
      <c r="T81" s="875"/>
    </row>
    <row r="82" spans="1:20" ht="15.75">
      <c r="A82" s="1028">
        <v>16</v>
      </c>
      <c r="B82" s="879" t="s">
        <v>7</v>
      </c>
      <c r="C82" s="878">
        <v>1</v>
      </c>
      <c r="D82" s="867"/>
      <c r="E82" s="867"/>
      <c r="F82" s="867">
        <v>0</v>
      </c>
      <c r="G82" s="867"/>
      <c r="H82" s="867"/>
      <c r="I82" s="867">
        <v>0</v>
      </c>
      <c r="J82" s="867"/>
      <c r="K82" s="867"/>
      <c r="L82" s="867">
        <v>0</v>
      </c>
      <c r="M82" s="867"/>
      <c r="N82" s="867"/>
      <c r="O82" s="867">
        <v>0</v>
      </c>
      <c r="P82" s="867"/>
      <c r="Q82" s="867"/>
      <c r="R82" s="1079">
        <v>0</v>
      </c>
      <c r="T82" s="875"/>
    </row>
    <row r="83" spans="1:20" ht="15.75">
      <c r="A83" s="1028">
        <v>17</v>
      </c>
      <c r="B83" s="879" t="s">
        <v>232</v>
      </c>
      <c r="C83" s="878">
        <v>1</v>
      </c>
      <c r="D83" s="867"/>
      <c r="E83" s="867"/>
      <c r="F83" s="867">
        <v>0</v>
      </c>
      <c r="G83" s="867"/>
      <c r="H83" s="867"/>
      <c r="I83" s="867">
        <v>0</v>
      </c>
      <c r="J83" s="867"/>
      <c r="K83" s="867"/>
      <c r="L83" s="867">
        <v>0</v>
      </c>
      <c r="M83" s="867"/>
      <c r="N83" s="867"/>
      <c r="O83" s="867">
        <v>0</v>
      </c>
      <c r="P83" s="867"/>
      <c r="Q83" s="867"/>
      <c r="R83" s="1079">
        <v>0</v>
      </c>
      <c r="T83" s="875"/>
    </row>
    <row r="84" spans="1:20" ht="15.75">
      <c r="A84" s="1028">
        <v>18</v>
      </c>
      <c r="B84" s="1066" t="s">
        <v>951</v>
      </c>
      <c r="C84" s="883">
        <v>0</v>
      </c>
      <c r="D84" s="861"/>
      <c r="E84" s="861"/>
      <c r="F84" s="861">
        <v>0</v>
      </c>
      <c r="G84" s="861"/>
      <c r="H84" s="861"/>
      <c r="I84" s="861">
        <v>0</v>
      </c>
      <c r="J84" s="861"/>
      <c r="K84" s="861"/>
      <c r="L84" s="861">
        <v>0</v>
      </c>
      <c r="M84" s="861"/>
      <c r="N84" s="861"/>
      <c r="O84" s="861">
        <v>0</v>
      </c>
      <c r="P84" s="861"/>
      <c r="Q84" s="861"/>
      <c r="R84" s="1024">
        <v>0</v>
      </c>
      <c r="T84" s="875"/>
    </row>
    <row r="85" spans="1:20" ht="15.75">
      <c r="A85" s="1028">
        <v>19</v>
      </c>
      <c r="B85" s="1066"/>
      <c r="C85" s="883"/>
      <c r="D85" s="861"/>
      <c r="E85" s="861"/>
      <c r="F85" s="861"/>
      <c r="G85" s="861"/>
      <c r="H85" s="861"/>
      <c r="I85" s="861"/>
      <c r="J85" s="861"/>
      <c r="K85" s="861"/>
      <c r="L85" s="861"/>
      <c r="M85" s="861"/>
      <c r="N85" s="861"/>
      <c r="O85" s="861"/>
      <c r="P85" s="861"/>
      <c r="Q85" s="861"/>
      <c r="R85" s="1024"/>
      <c r="T85" s="875"/>
    </row>
    <row r="86" spans="1:20" ht="15.75">
      <c r="A86" s="1028">
        <v>20</v>
      </c>
      <c r="B86" s="1066"/>
      <c r="C86" s="883"/>
      <c r="D86" s="861"/>
      <c r="E86" s="861"/>
      <c r="F86" s="861"/>
      <c r="G86" s="861"/>
      <c r="H86" s="861"/>
      <c r="I86" s="861"/>
      <c r="J86" s="861"/>
      <c r="K86" s="861"/>
      <c r="L86" s="861"/>
      <c r="M86" s="861"/>
      <c r="N86" s="861"/>
      <c r="O86" s="861"/>
      <c r="P86" s="861"/>
      <c r="Q86" s="861"/>
      <c r="R86" s="1024"/>
      <c r="T86" s="875"/>
    </row>
    <row r="87" spans="1:20" ht="15.75">
      <c r="A87" s="1028">
        <v>21</v>
      </c>
      <c r="B87" s="1066"/>
      <c r="C87" s="883"/>
      <c r="D87" s="861"/>
      <c r="E87" s="861"/>
      <c r="F87" s="861"/>
      <c r="G87" s="861"/>
      <c r="H87" s="861"/>
      <c r="I87" s="861"/>
      <c r="J87" s="861"/>
      <c r="K87" s="861"/>
      <c r="L87" s="861"/>
      <c r="M87" s="861"/>
      <c r="N87" s="861"/>
      <c r="O87" s="861"/>
      <c r="P87" s="861"/>
      <c r="Q87" s="861"/>
      <c r="R87" s="1024"/>
      <c r="T87" s="875"/>
    </row>
    <row r="88" spans="1:20" ht="15.75">
      <c r="A88" s="1028">
        <v>22</v>
      </c>
      <c r="B88" s="1066"/>
      <c r="C88" s="883"/>
      <c r="D88" s="861"/>
      <c r="E88" s="861"/>
      <c r="F88" s="861"/>
      <c r="G88" s="861"/>
      <c r="H88" s="861"/>
      <c r="I88" s="861"/>
      <c r="J88" s="861"/>
      <c r="K88" s="861"/>
      <c r="L88" s="861"/>
      <c r="M88" s="861"/>
      <c r="N88" s="861"/>
      <c r="O88" s="861"/>
      <c r="P88" s="861"/>
      <c r="Q88" s="861"/>
      <c r="R88" s="1024"/>
      <c r="T88" s="875"/>
    </row>
    <row r="89" spans="1:20" ht="16.5" thickBot="1">
      <c r="A89" s="1030"/>
      <c r="B89" s="1031" t="s">
        <v>8</v>
      </c>
      <c r="C89" s="1032"/>
      <c r="D89" s="1033"/>
      <c r="E89" s="1033">
        <f t="shared" ref="E89" si="27">SUM(E5,E6,E7,E17,E29,E41,E53,E71,E72,E73,E77,E79,E80,E81,E82,E83,E84,E85,E86,E87,E88)</f>
        <v>0</v>
      </c>
      <c r="F89" s="1033">
        <f>SUM(F5,F6,F7,F17,F29,F41,F53,F71,F72,F73,F77,F78,F79,F80,F81,F82,F83,F84,F85,F86,F87,F88)</f>
        <v>0</v>
      </c>
      <c r="G89" s="1033"/>
      <c r="H89" s="1033">
        <f t="shared" ref="H89" si="28">SUM(H5,H6,H7,H17,H29,H41,H53,H71,H72,H73,H77,H79,H80,H81,H82,H83,H84,H85,H86,H87,H88)</f>
        <v>0</v>
      </c>
      <c r="I89" s="1033">
        <f>SUM(I5,I6,I7,I17,I29,I41,I53,I71,I72,I73,I77,I78,I79,I80,I81,I82,I83,I84,I85,I86,I87,I88)</f>
        <v>0</v>
      </c>
      <c r="J89" s="1033"/>
      <c r="K89" s="1033">
        <f>SUM(K5,K6,K7,K17,K29,K41,K53,K71,K72,K73,K77,K79,K80,K81,K82,K83,K84,K85,K86,K87,K88)</f>
        <v>0</v>
      </c>
      <c r="L89" s="1033">
        <f>SUM(L5,L6,L7,L17,L29,L41,L53,L71,L72,L73,L77,L78,L79,L80,L81,L82,L83,L84,L85,L86,L87,L88)</f>
        <v>0</v>
      </c>
      <c r="M89" s="1033"/>
      <c r="N89" s="1033">
        <f t="shared" ref="N89" si="29">SUM(N5,N6,N7,N17,N29,N41,N53,N71,N72,N73,N77,N79,N80,N81,N82,N83,N84,N85,N86,N87,N88)</f>
        <v>0</v>
      </c>
      <c r="O89" s="1033">
        <f>SUM(O5,O6,O7,O17,O29,O41,O53,O71,O72,O73,O77,O78,O79,O80,O81,O82,O83,O84,O85,O86,O87,O88)</f>
        <v>0</v>
      </c>
      <c r="P89" s="1033"/>
      <c r="Q89" s="1033">
        <f t="shared" ref="Q89" si="30">SUM(Q5,Q6,Q7,Q17,Q29,Q41,Q53,Q71,Q72,Q73,Q77,Q79,Q80,Q81,Q82,Q83,Q84,Q85,Q86,Q87,Q88)</f>
        <v>0</v>
      </c>
      <c r="R89" s="1034">
        <f>SUM(R5,R6,R7,R17,R29,R41,R53,R71,R72,R73,R77,R78,R79,R80,R81,R82,R83,R84,R85,R86,R87,R88)</f>
        <v>0</v>
      </c>
    </row>
    <row r="90" spans="1:20" ht="7.5" customHeight="1">
      <c r="A90" s="1074"/>
      <c r="B90" s="1071"/>
      <c r="C90" s="1072"/>
      <c r="D90" s="1073"/>
      <c r="E90" s="1073"/>
      <c r="F90" s="1073"/>
      <c r="G90" s="1073"/>
      <c r="H90" s="1073"/>
      <c r="I90" s="1073"/>
      <c r="J90" s="1073"/>
      <c r="K90" s="1073"/>
      <c r="L90" s="1073"/>
      <c r="M90" s="1073"/>
      <c r="N90" s="1073"/>
      <c r="O90" s="1073"/>
      <c r="P90" s="1073"/>
      <c r="Q90" s="1073"/>
      <c r="R90" s="1073"/>
    </row>
    <row r="91" spans="1:20" ht="14.25" customHeight="1">
      <c r="B91" s="1639" t="s">
        <v>146</v>
      </c>
      <c r="C91" s="172" t="s">
        <v>144</v>
      </c>
      <c r="D91" s="173" t="s">
        <v>1044</v>
      </c>
      <c r="E91" s="1068"/>
      <c r="F91" s="1068"/>
      <c r="G91" s="174"/>
      <c r="H91" s="1070"/>
      <c r="I91" s="1645" t="s">
        <v>240</v>
      </c>
      <c r="J91" s="1645"/>
      <c r="K91" s="1646"/>
      <c r="L91" s="172" t="s">
        <v>144</v>
      </c>
      <c r="M91" s="173"/>
      <c r="N91" s="1068"/>
      <c r="O91" s="81"/>
      <c r="Q91" s="1073"/>
      <c r="R91" s="1073"/>
    </row>
    <row r="92" spans="1:20" ht="12.75" customHeight="1">
      <c r="B92" s="1640"/>
      <c r="C92" s="172" t="s">
        <v>239</v>
      </c>
      <c r="D92" s="1082"/>
      <c r="E92" s="1068"/>
      <c r="F92" s="1068"/>
      <c r="G92" s="174"/>
      <c r="H92" s="1070"/>
      <c r="I92" s="1645"/>
      <c r="J92" s="1645"/>
      <c r="K92" s="1646"/>
      <c r="L92" s="172" t="s">
        <v>239</v>
      </c>
      <c r="M92" s="173"/>
      <c r="N92" s="1068"/>
      <c r="O92" s="81"/>
    </row>
    <row r="93" spans="1:20" ht="14.25" customHeight="1">
      <c r="B93" s="1641"/>
      <c r="C93" s="172" t="s">
        <v>145</v>
      </c>
      <c r="D93" s="175"/>
      <c r="E93" s="1069"/>
      <c r="F93" s="1069"/>
      <c r="G93" s="176"/>
      <c r="H93" s="1070"/>
      <c r="I93" s="1645"/>
      <c r="J93" s="1645"/>
      <c r="K93" s="1646"/>
      <c r="L93" s="172" t="s">
        <v>145</v>
      </c>
      <c r="M93" s="173"/>
      <c r="N93" s="1068"/>
      <c r="O93" s="81"/>
    </row>
    <row r="94" spans="1:20">
      <c r="L94" s="875"/>
      <c r="O94" s="875"/>
    </row>
    <row r="95" spans="1:20">
      <c r="B95" s="702" t="s">
        <v>948</v>
      </c>
      <c r="I95" s="875"/>
      <c r="L95" s="875"/>
      <c r="O95" s="875"/>
    </row>
    <row r="98" spans="8:12">
      <c r="H98" s="875"/>
    </row>
    <row r="99" spans="8:12">
      <c r="K99" s="875"/>
    </row>
    <row r="100" spans="8:12">
      <c r="I100" s="875"/>
    </row>
    <row r="101" spans="8:12">
      <c r="L101" s="875"/>
    </row>
    <row r="113" spans="9:9">
      <c r="I113" s="875"/>
    </row>
  </sheetData>
  <sheetProtection password="CA09" sheet="1" objects="1" scenarios="1"/>
  <protectedRanges>
    <protectedRange sqref="D92:G93 M91:O93 E91:G91" name="Range17"/>
    <protectedRange sqref="B84:B88" name="Range16"/>
    <protectedRange sqref="D83:R88 C5:C88" name="Range3"/>
    <protectedRange sqref="C42:C52 C30:C40 C5:C28 C54:C70" name="Range4"/>
    <protectedRange sqref="F5:R6 D5:E7" name="Range1"/>
    <protectedRange sqref="F7:R7" name="Range1_7"/>
    <protectedRange sqref="E9:E11 K9:K16 N9:N16 Q9:Q16" name="Range1_8"/>
    <protectedRange sqref="G16:H16 E12 D13:E16 D9:D12 J9:J16 M9:M16 P9:P16" name="Range1_1_1"/>
    <protectedRange sqref="D49:D52 E43:E52 K43:K52 J50:J52 G26:G28 D25:D28 E19:E28 P27:Q28 J26:J28 M26:M28 P26 G38:G40 D37:D40 E31:E40 J38:J40 H19:H28 H32:H40 K19:K28 N19:N28 Q19:Q26 M38:M40 P38:P40 N43:N52 M50:M52 Q43:Q52 P50:P52 N32:N40 K32:K40 Q32:Q40" name="Range1_9"/>
    <protectedRange sqref="J43:J49 D43:D48 D19:D24 D31:D36 J31:J37 K31 G19:G25 G31:G37 H31 J19:J25 M19:M25 P19:P25 M31:M37 N31 P31:P37 Q31 M43:M49 P43:P49" name="Range1_2_1"/>
    <protectedRange sqref="D57:E70 M57 P57 P58:Q70 M58:N70 J57:J63 K55:K70" name="Range1_10"/>
    <protectedRange sqref="D55:D56 M55:M56 P55:P56 J55:J56" name="Range1_3_1"/>
    <protectedRange sqref="E55:E56" name="Range1_5_1"/>
    <protectedRange sqref="Q55:Q57 N55:N57" name="Range1_6_1"/>
    <protectedRange sqref="D72:H73 J72:R73" name="Range1_11"/>
    <protectedRange sqref="D78:R82" name="Range1_12"/>
    <protectedRange sqref="E75:E76 K75:K76 N75:N76 Q75:Q76 H75:H76" name="Range15"/>
    <protectedRange sqref="D91" name="Range5"/>
    <protectedRange sqref="G9:G11 H9:H15" name="Range1_8_1"/>
    <protectedRange sqref="G12:G15" name="Range1_1_1_1"/>
    <protectedRange sqref="H43:H52 G50:G52" name="Range1_9_1"/>
    <protectedRange sqref="G43:G49" name="Range1_2_1_1"/>
    <protectedRange sqref="G58:H70 J64:J70" name="Range1_10_1"/>
    <protectedRange sqref="G55:G57" name="Range1_3_1_1"/>
    <protectedRange sqref="H55:H57" name="Range1_6_1_1"/>
    <protectedRange sqref="I72:I73" name="Range1_11_1"/>
  </protectedRanges>
  <mergeCells count="3">
    <mergeCell ref="B91:B93"/>
    <mergeCell ref="C2:C4"/>
    <mergeCell ref="I91:K93"/>
  </mergeCells>
  <phoneticPr fontId="20" type="noConversion"/>
  <pageMargins left="0.27559055118110237" right="0.19685039370078741" top="0.23622047244094491" bottom="0.39370078740157483" header="0.23622047244094491" footer="0.19685039370078741"/>
  <pageSetup paperSize="9" scale="90" orientation="landscape" r:id="rId1"/>
  <headerFooter alignWithMargins="0">
    <oddFooter xml:space="preserve">&amp;L&amp;F&amp;C&amp;D&amp;RFN </oddFooter>
  </headerFooter>
  <rowBreaks count="1" manualBreakCount="1">
    <brk id="55" max="1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DV159"/>
  <sheetViews>
    <sheetView tabSelected="1" topLeftCell="A19" workbookViewId="0">
      <selection activeCell="L47" sqref="L47"/>
    </sheetView>
  </sheetViews>
  <sheetFormatPr defaultColWidth="7.85546875" defaultRowHeight="11.25"/>
  <cols>
    <col min="1" max="1" width="3.28515625" style="83" customWidth="1"/>
    <col min="2" max="2" width="2.7109375" style="83" customWidth="1"/>
    <col min="3" max="3" width="2.42578125" style="83" customWidth="1"/>
    <col min="4" max="4" width="2.5703125" style="83" customWidth="1"/>
    <col min="5" max="5" width="3" style="83" customWidth="1"/>
    <col min="6" max="6" width="35.85546875" style="83" customWidth="1"/>
    <col min="7" max="7" width="8.42578125" style="83" customWidth="1"/>
    <col min="8" max="10" width="7.85546875" style="83" customWidth="1"/>
    <col min="11" max="11" width="9.85546875" style="83" customWidth="1"/>
    <col min="12" max="12" width="7.85546875" style="83" customWidth="1"/>
    <col min="13" max="13" width="9.85546875" style="83" customWidth="1"/>
    <col min="14" max="14" width="8.7109375" style="83" customWidth="1"/>
    <col min="15" max="16384" width="7.85546875" style="83"/>
  </cols>
  <sheetData>
    <row r="1" spans="1:126" ht="13.5" thickBot="1">
      <c r="A1" s="228" t="s">
        <v>236</v>
      </c>
    </row>
    <row r="2" spans="1:126" s="69" customFormat="1" ht="13.5" thickTop="1">
      <c r="A2" s="1648" t="s">
        <v>237</v>
      </c>
      <c r="B2" s="1649"/>
      <c r="C2" s="1649"/>
      <c r="D2" s="1649"/>
      <c r="E2" s="1649"/>
      <c r="F2" s="1649"/>
      <c r="G2" s="119"/>
      <c r="H2" s="119"/>
      <c r="I2" s="119"/>
      <c r="J2" s="119"/>
      <c r="K2" s="119"/>
      <c r="L2" s="120"/>
      <c r="M2" s="120"/>
      <c r="N2" s="120"/>
      <c r="O2" s="120"/>
      <c r="P2" s="121"/>
    </row>
    <row r="3" spans="1:126" s="72" customFormat="1" ht="27.6" customHeight="1">
      <c r="A3" s="118"/>
      <c r="B3" s="70"/>
      <c r="C3" s="70"/>
      <c r="D3" s="70"/>
      <c r="E3" s="70"/>
      <c r="F3" s="70"/>
      <c r="G3" s="71"/>
      <c r="H3" s="70"/>
      <c r="I3" s="70"/>
      <c r="J3" s="70"/>
      <c r="K3" s="70"/>
      <c r="L3" s="70"/>
      <c r="M3" s="70"/>
      <c r="N3" s="1647" t="s">
        <v>1065</v>
      </c>
      <c r="O3" s="1647"/>
      <c r="P3" s="124"/>
    </row>
    <row r="4" spans="1:126" s="72" customFormat="1" ht="11.25" customHeight="1">
      <c r="A4" s="118"/>
      <c r="B4" s="70"/>
      <c r="C4" s="70"/>
      <c r="D4" s="70"/>
      <c r="E4" s="70"/>
      <c r="F4" s="70"/>
      <c r="G4" s="70"/>
      <c r="H4" s="70"/>
      <c r="I4" s="70"/>
      <c r="J4" s="70"/>
      <c r="K4" s="70"/>
      <c r="L4" s="70"/>
      <c r="M4" s="70"/>
      <c r="N4" s="55" t="str">
        <f>CONCATENATE("Viti"," ",VALUE('Te dhena fillesat 2022'!D$4))</f>
        <v>Viti 2022</v>
      </c>
      <c r="O4" s="71"/>
      <c r="P4" s="124"/>
    </row>
    <row r="5" spans="1:126" s="77" customFormat="1" ht="12" customHeight="1">
      <c r="A5" s="122"/>
      <c r="B5" s="73"/>
      <c r="C5" s="73"/>
      <c r="D5" s="73"/>
      <c r="E5" s="74"/>
      <c r="F5" s="75"/>
      <c r="G5" s="76" t="s">
        <v>74</v>
      </c>
      <c r="H5" s="1650" t="s">
        <v>84</v>
      </c>
      <c r="I5" s="1650"/>
      <c r="J5" s="1650"/>
      <c r="K5" s="1651"/>
      <c r="L5" s="73"/>
      <c r="M5" s="73"/>
      <c r="N5" s="249" t="s">
        <v>219</v>
      </c>
      <c r="O5" s="71"/>
      <c r="P5" s="124"/>
    </row>
    <row r="6" spans="1:126" s="72" customFormat="1" ht="12" customHeight="1">
      <c r="A6" s="123"/>
      <c r="B6" s="71"/>
      <c r="C6" s="71"/>
      <c r="D6" s="71"/>
      <c r="E6" s="79" t="s">
        <v>217</v>
      </c>
      <c r="F6" s="80"/>
      <c r="G6" s="720" t="str">
        <f>CONCATENATE('Te dhena fillesat 2022'!$C$7)</f>
        <v>1011205</v>
      </c>
      <c r="H6" s="938" t="str">
        <f>CONCATENATE('Te dhena fillesat 2022'!$D$7)</f>
        <v>Agjensia e Sherbimeve të Sportit</v>
      </c>
      <c r="I6" s="80"/>
      <c r="J6" s="80"/>
      <c r="K6" s="81"/>
      <c r="L6" s="71"/>
      <c r="M6" s="71"/>
      <c r="N6" s="71"/>
      <c r="O6" s="71"/>
      <c r="P6" s="124"/>
    </row>
    <row r="7" spans="1:126" s="72" customFormat="1" ht="12" thickBot="1">
      <c r="A7" s="125"/>
      <c r="B7" s="126"/>
      <c r="C7" s="126"/>
      <c r="D7" s="126"/>
      <c r="E7" s="127"/>
      <c r="F7" s="126"/>
      <c r="G7" s="163"/>
      <c r="H7" s="161"/>
      <c r="I7" s="161"/>
      <c r="J7" s="161"/>
      <c r="K7" s="162"/>
      <c r="L7" s="126"/>
      <c r="M7" s="126"/>
      <c r="N7" s="126"/>
      <c r="O7" s="126"/>
      <c r="P7" s="128"/>
    </row>
    <row r="8" spans="1:126" ht="8.25" customHeight="1" thickTop="1" thickBot="1">
      <c r="A8" s="78"/>
      <c r="B8" s="71"/>
      <c r="C8" s="71"/>
      <c r="D8" s="71"/>
      <c r="E8" s="71"/>
      <c r="F8" s="71"/>
      <c r="G8" s="71"/>
      <c r="H8" s="71"/>
      <c r="I8" s="71"/>
      <c r="K8" s="71"/>
      <c r="L8" s="71"/>
      <c r="M8" s="71"/>
      <c r="N8" s="71" t="s">
        <v>210</v>
      </c>
      <c r="O8" s="71"/>
      <c r="P8" s="82"/>
    </row>
    <row r="9" spans="1:126" s="84" customFormat="1" ht="12" thickTop="1">
      <c r="A9" s="129"/>
      <c r="B9" s="119"/>
      <c r="C9" s="119"/>
      <c r="D9" s="119"/>
      <c r="E9" s="119"/>
      <c r="F9" s="119"/>
      <c r="G9" s="130">
        <v>600</v>
      </c>
      <c r="H9" s="130">
        <v>601</v>
      </c>
      <c r="I9" s="130">
        <v>602</v>
      </c>
      <c r="J9" s="130">
        <v>603</v>
      </c>
      <c r="K9" s="130">
        <v>604</v>
      </c>
      <c r="L9" s="130" t="s">
        <v>70</v>
      </c>
      <c r="M9" s="130" t="s">
        <v>112</v>
      </c>
      <c r="N9" s="130" t="s">
        <v>71</v>
      </c>
      <c r="O9" s="130">
        <v>231</v>
      </c>
      <c r="P9" s="131" t="s">
        <v>85</v>
      </c>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row>
    <row r="10" spans="1:126" s="88" customFormat="1" ht="37.5" customHeight="1">
      <c r="A10" s="132" t="s">
        <v>83</v>
      </c>
      <c r="B10" s="85"/>
      <c r="C10" s="85" t="s">
        <v>86</v>
      </c>
      <c r="D10" s="85"/>
      <c r="E10" s="85" t="s">
        <v>87</v>
      </c>
      <c r="F10" s="85"/>
      <c r="G10" s="86" t="s">
        <v>88</v>
      </c>
      <c r="H10" s="86" t="s">
        <v>89</v>
      </c>
      <c r="I10" s="86" t="s">
        <v>90</v>
      </c>
      <c r="J10" s="86" t="s">
        <v>91</v>
      </c>
      <c r="K10" s="86" t="s">
        <v>92</v>
      </c>
      <c r="L10" s="86" t="s">
        <v>93</v>
      </c>
      <c r="M10" s="86" t="s">
        <v>113</v>
      </c>
      <c r="N10" s="86" t="s">
        <v>94</v>
      </c>
      <c r="O10" s="86" t="s">
        <v>95</v>
      </c>
      <c r="P10" s="133"/>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7"/>
      <c r="CN10" s="87"/>
      <c r="CO10" s="87"/>
      <c r="CP10" s="87"/>
      <c r="CQ10" s="87"/>
      <c r="CR10" s="87"/>
      <c r="CS10" s="87"/>
      <c r="CT10" s="87"/>
      <c r="CU10" s="87"/>
      <c r="CV10" s="87"/>
      <c r="CW10" s="87"/>
      <c r="CX10" s="87"/>
      <c r="CY10" s="87"/>
      <c r="CZ10" s="87"/>
      <c r="DA10" s="87"/>
      <c r="DB10" s="87"/>
      <c r="DC10" s="87"/>
      <c r="DD10" s="87"/>
      <c r="DE10" s="87"/>
      <c r="DF10" s="87"/>
      <c r="DG10" s="87"/>
      <c r="DH10" s="87"/>
      <c r="DI10" s="87"/>
      <c r="DJ10" s="87"/>
      <c r="DK10" s="87"/>
      <c r="DL10" s="87"/>
      <c r="DM10" s="87"/>
      <c r="DN10" s="87"/>
      <c r="DO10" s="87"/>
      <c r="DP10" s="87"/>
      <c r="DQ10" s="87"/>
      <c r="DR10" s="87"/>
      <c r="DS10" s="87"/>
      <c r="DT10" s="87"/>
      <c r="DU10" s="87"/>
      <c r="DV10" s="87"/>
    </row>
    <row r="11" spans="1:126" s="84" customFormat="1" ht="18" customHeight="1">
      <c r="A11" s="134"/>
      <c r="B11" s="89" t="s">
        <v>96</v>
      </c>
      <c r="C11" s="89"/>
      <c r="D11" s="89"/>
      <c r="E11" s="89"/>
      <c r="F11" s="89"/>
      <c r="G11" s="90">
        <f t="shared" ref="G11:O11" si="0">G12+G18+G24+G30+G43</f>
        <v>11167</v>
      </c>
      <c r="H11" s="91">
        <f t="shared" si="0"/>
        <v>1865</v>
      </c>
      <c r="I11" s="91">
        <f t="shared" si="0"/>
        <v>4165</v>
      </c>
      <c r="J11" s="91">
        <f t="shared" si="0"/>
        <v>0</v>
      </c>
      <c r="K11" s="91">
        <f t="shared" si="0"/>
        <v>0</v>
      </c>
      <c r="L11" s="148">
        <f t="shared" si="0"/>
        <v>5500</v>
      </c>
      <c r="M11" s="91">
        <f t="shared" si="0"/>
        <v>0</v>
      </c>
      <c r="N11" s="152">
        <f t="shared" si="0"/>
        <v>1700</v>
      </c>
      <c r="O11" s="92">
        <f t="shared" si="0"/>
        <v>0</v>
      </c>
      <c r="P11" s="135">
        <f t="shared" ref="P11:P47" si="1">SUM(G11:O11)</f>
        <v>24397</v>
      </c>
    </row>
    <row r="12" spans="1:126" s="84" customFormat="1" ht="12.75" customHeight="1">
      <c r="A12" s="1051" t="s">
        <v>998</v>
      </c>
      <c r="B12" s="317"/>
      <c r="C12" s="317">
        <v>1</v>
      </c>
      <c r="D12" s="317" t="s">
        <v>476</v>
      </c>
      <c r="E12" s="317"/>
      <c r="F12" s="317"/>
      <c r="G12" s="318">
        <f>SUM(G13:G17)</f>
        <v>0</v>
      </c>
      <c r="H12" s="319">
        <f t="shared" ref="H12:M12" si="2">SUM(H13:H17)</f>
        <v>0</v>
      </c>
      <c r="I12" s="319">
        <f t="shared" si="2"/>
        <v>0</v>
      </c>
      <c r="J12" s="319">
        <f t="shared" si="2"/>
        <v>0</v>
      </c>
      <c r="K12" s="319">
        <f t="shared" si="2"/>
        <v>0</v>
      </c>
      <c r="L12" s="320">
        <f t="shared" si="2"/>
        <v>0</v>
      </c>
      <c r="M12" s="319">
        <f t="shared" si="2"/>
        <v>0</v>
      </c>
      <c r="N12" s="321">
        <f>SUM(N13:N17)</f>
        <v>0</v>
      </c>
      <c r="O12" s="319">
        <f>SUM(O13:O17)</f>
        <v>0</v>
      </c>
      <c r="P12" s="322">
        <f t="shared" si="1"/>
        <v>0</v>
      </c>
    </row>
    <row r="13" spans="1:126">
      <c r="A13" s="138"/>
      <c r="B13" s="96"/>
      <c r="C13" s="96"/>
      <c r="D13" s="96"/>
      <c r="E13" s="96">
        <v>1</v>
      </c>
      <c r="F13" s="96" t="s">
        <v>98</v>
      </c>
      <c r="G13" s="97"/>
      <c r="H13" s="98"/>
      <c r="I13" s="98"/>
      <c r="J13" s="98"/>
      <c r="K13" s="98"/>
      <c r="L13" s="150"/>
      <c r="M13" s="98"/>
      <c r="N13" s="154"/>
      <c r="O13" s="98"/>
      <c r="P13" s="137">
        <f>SUM(G13:O13)</f>
        <v>0</v>
      </c>
    </row>
    <row r="14" spans="1:126">
      <c r="A14" s="138"/>
      <c r="B14" s="96"/>
      <c r="C14" s="96"/>
      <c r="D14" s="96"/>
      <c r="E14" s="96">
        <v>2</v>
      </c>
      <c r="F14" s="96" t="s">
        <v>99</v>
      </c>
      <c r="G14" s="97"/>
      <c r="H14" s="98"/>
      <c r="I14" s="98"/>
      <c r="J14" s="98"/>
      <c r="K14" s="98"/>
      <c r="L14" s="150"/>
      <c r="M14" s="98"/>
      <c r="N14" s="154"/>
      <c r="O14" s="98"/>
      <c r="P14" s="137">
        <f t="shared" si="1"/>
        <v>0</v>
      </c>
    </row>
    <row r="15" spans="1:126">
      <c r="A15" s="138"/>
      <c r="B15" s="96"/>
      <c r="C15" s="96"/>
      <c r="D15" s="96"/>
      <c r="E15" s="96">
        <v>3</v>
      </c>
      <c r="F15" s="96" t="s">
        <v>100</v>
      </c>
      <c r="G15" s="97"/>
      <c r="H15" s="98"/>
      <c r="I15" s="98"/>
      <c r="J15" s="98"/>
      <c r="K15" s="98"/>
      <c r="L15" s="150"/>
      <c r="M15" s="98"/>
      <c r="N15" s="154"/>
      <c r="O15" s="98"/>
      <c r="P15" s="137">
        <f t="shared" si="1"/>
        <v>0</v>
      </c>
    </row>
    <row r="16" spans="1:126">
      <c r="A16" s="138"/>
      <c r="B16" s="96"/>
      <c r="C16" s="96"/>
      <c r="D16" s="96"/>
      <c r="E16" s="96">
        <v>4</v>
      </c>
      <c r="F16" s="96" t="s">
        <v>101</v>
      </c>
      <c r="G16" s="97"/>
      <c r="H16" s="98"/>
      <c r="I16" s="98"/>
      <c r="J16" s="98"/>
      <c r="K16" s="98"/>
      <c r="L16" s="150"/>
      <c r="M16" s="98"/>
      <c r="N16" s="154"/>
      <c r="O16" s="98"/>
      <c r="P16" s="137">
        <f t="shared" si="1"/>
        <v>0</v>
      </c>
    </row>
    <row r="17" spans="1:16">
      <c r="A17" s="138"/>
      <c r="B17" s="96"/>
      <c r="C17" s="96"/>
      <c r="D17" s="96"/>
      <c r="E17" s="96">
        <v>5</v>
      </c>
      <c r="F17" s="96" t="s">
        <v>102</v>
      </c>
      <c r="G17" s="97"/>
      <c r="H17" s="98"/>
      <c r="I17" s="98"/>
      <c r="J17" s="98"/>
      <c r="K17" s="98"/>
      <c r="L17" s="150"/>
      <c r="M17" s="98"/>
      <c r="N17" s="154"/>
      <c r="O17" s="98"/>
      <c r="P17" s="137">
        <f t="shared" si="1"/>
        <v>0</v>
      </c>
    </row>
    <row r="18" spans="1:16" s="84" customFormat="1" ht="12.75" customHeight="1">
      <c r="A18" s="1051" t="s">
        <v>999</v>
      </c>
      <c r="B18" s="317"/>
      <c r="C18" s="317">
        <v>2</v>
      </c>
      <c r="D18" s="317" t="s">
        <v>996</v>
      </c>
      <c r="E18" s="317"/>
      <c r="F18" s="317"/>
      <c r="G18" s="318">
        <f t="shared" ref="G18:M18" si="3">SUM(G19:G23)</f>
        <v>0</v>
      </c>
      <c r="H18" s="319">
        <f t="shared" si="3"/>
        <v>0</v>
      </c>
      <c r="I18" s="319">
        <f t="shared" si="3"/>
        <v>0</v>
      </c>
      <c r="J18" s="319">
        <f t="shared" si="3"/>
        <v>0</v>
      </c>
      <c r="K18" s="319">
        <f t="shared" si="3"/>
        <v>0</v>
      </c>
      <c r="L18" s="320">
        <f t="shared" si="3"/>
        <v>0</v>
      </c>
      <c r="M18" s="320">
        <f t="shared" si="3"/>
        <v>0</v>
      </c>
      <c r="N18" s="321">
        <f>SUM(N19:N23)</f>
        <v>0</v>
      </c>
      <c r="O18" s="319">
        <f>SUM(O19:O23)</f>
        <v>0</v>
      </c>
      <c r="P18" s="322">
        <f t="shared" si="1"/>
        <v>0</v>
      </c>
    </row>
    <row r="19" spans="1:16">
      <c r="A19" s="138"/>
      <c r="B19" s="96"/>
      <c r="C19" s="96"/>
      <c r="D19" s="96"/>
      <c r="E19" s="96">
        <v>1</v>
      </c>
      <c r="F19" s="96" t="s">
        <v>98</v>
      </c>
      <c r="G19" s="97"/>
      <c r="H19" s="98"/>
      <c r="I19" s="98"/>
      <c r="J19" s="98"/>
      <c r="K19" s="98"/>
      <c r="L19" s="150"/>
      <c r="M19" s="98"/>
      <c r="N19" s="154"/>
      <c r="O19" s="98"/>
      <c r="P19" s="137">
        <f t="shared" si="1"/>
        <v>0</v>
      </c>
    </row>
    <row r="20" spans="1:16">
      <c r="A20" s="138"/>
      <c r="B20" s="96"/>
      <c r="C20" s="96"/>
      <c r="D20" s="96"/>
      <c r="E20" s="96">
        <v>2</v>
      </c>
      <c r="F20" s="96" t="s">
        <v>99</v>
      </c>
      <c r="G20" s="97"/>
      <c r="H20" s="98"/>
      <c r="I20" s="98"/>
      <c r="J20" s="98"/>
      <c r="K20" s="98"/>
      <c r="L20" s="150"/>
      <c r="M20" s="98"/>
      <c r="N20" s="154"/>
      <c r="O20" s="98"/>
      <c r="P20" s="137">
        <f t="shared" si="1"/>
        <v>0</v>
      </c>
    </row>
    <row r="21" spans="1:16">
      <c r="A21" s="138"/>
      <c r="B21" s="96"/>
      <c r="C21" s="96"/>
      <c r="D21" s="96"/>
      <c r="E21" s="96">
        <v>3</v>
      </c>
      <c r="F21" s="96" t="s">
        <v>100</v>
      </c>
      <c r="G21" s="97"/>
      <c r="H21" s="98"/>
      <c r="I21" s="98"/>
      <c r="J21" s="98"/>
      <c r="K21" s="98"/>
      <c r="L21" s="150"/>
      <c r="M21" s="98"/>
      <c r="N21" s="154"/>
      <c r="O21" s="98"/>
      <c r="P21" s="137">
        <f t="shared" si="1"/>
        <v>0</v>
      </c>
    </row>
    <row r="22" spans="1:16">
      <c r="A22" s="138"/>
      <c r="B22" s="96"/>
      <c r="C22" s="96"/>
      <c r="D22" s="96"/>
      <c r="E22" s="96">
        <v>4</v>
      </c>
      <c r="F22" s="96" t="s">
        <v>101</v>
      </c>
      <c r="G22" s="97"/>
      <c r="H22" s="98"/>
      <c r="I22" s="98"/>
      <c r="J22" s="98"/>
      <c r="K22" s="98"/>
      <c r="L22" s="150"/>
      <c r="M22" s="98"/>
      <c r="N22" s="154"/>
      <c r="O22" s="98"/>
      <c r="P22" s="137">
        <f t="shared" si="1"/>
        <v>0</v>
      </c>
    </row>
    <row r="23" spans="1:16">
      <c r="A23" s="138"/>
      <c r="B23" s="96"/>
      <c r="C23" s="96"/>
      <c r="D23" s="96"/>
      <c r="E23" s="96">
        <v>5</v>
      </c>
      <c r="F23" s="96" t="s">
        <v>102</v>
      </c>
      <c r="G23" s="97"/>
      <c r="H23" s="98"/>
      <c r="I23" s="98"/>
      <c r="J23" s="98"/>
      <c r="K23" s="98"/>
      <c r="L23" s="150"/>
      <c r="M23" s="98"/>
      <c r="N23" s="154"/>
      <c r="O23" s="98"/>
      <c r="P23" s="137">
        <f t="shared" si="1"/>
        <v>0</v>
      </c>
    </row>
    <row r="24" spans="1:16" s="84" customFormat="1" ht="12.75" customHeight="1">
      <c r="A24" s="1051" t="s">
        <v>1000</v>
      </c>
      <c r="B24" s="317"/>
      <c r="C24" s="317">
        <v>3</v>
      </c>
      <c r="D24" s="317" t="s">
        <v>995</v>
      </c>
      <c r="E24" s="317"/>
      <c r="F24" s="317"/>
      <c r="G24" s="318">
        <f t="shared" ref="G24:M24" si="4">SUM(G25:G29)</f>
        <v>0</v>
      </c>
      <c r="H24" s="319">
        <f t="shared" si="4"/>
        <v>0</v>
      </c>
      <c r="I24" s="319">
        <f t="shared" si="4"/>
        <v>0</v>
      </c>
      <c r="J24" s="319">
        <f t="shared" si="4"/>
        <v>0</v>
      </c>
      <c r="K24" s="319">
        <f t="shared" si="4"/>
        <v>0</v>
      </c>
      <c r="L24" s="320">
        <f t="shared" si="4"/>
        <v>0</v>
      </c>
      <c r="M24" s="320">
        <f t="shared" si="4"/>
        <v>0</v>
      </c>
      <c r="N24" s="321">
        <f>SUM(N25:N29)</f>
        <v>0</v>
      </c>
      <c r="O24" s="319">
        <f>SUM(O25:O29)</f>
        <v>0</v>
      </c>
      <c r="P24" s="322">
        <f t="shared" si="1"/>
        <v>0</v>
      </c>
    </row>
    <row r="25" spans="1:16">
      <c r="A25" s="138"/>
      <c r="B25" s="96"/>
      <c r="C25" s="96"/>
      <c r="D25" s="96"/>
      <c r="E25" s="96">
        <v>1</v>
      </c>
      <c r="F25" s="96" t="s">
        <v>98</v>
      </c>
      <c r="G25" s="97"/>
      <c r="H25" s="98"/>
      <c r="I25" s="98"/>
      <c r="J25" s="98"/>
      <c r="K25" s="98"/>
      <c r="L25" s="150"/>
      <c r="M25" s="98"/>
      <c r="N25" s="154"/>
      <c r="O25" s="98"/>
      <c r="P25" s="137">
        <f t="shared" si="1"/>
        <v>0</v>
      </c>
    </row>
    <row r="26" spans="1:16">
      <c r="A26" s="138"/>
      <c r="B26" s="96"/>
      <c r="C26" s="96"/>
      <c r="D26" s="96"/>
      <c r="E26" s="96">
        <v>2</v>
      </c>
      <c r="F26" s="96" t="s">
        <v>99</v>
      </c>
      <c r="G26" s="97"/>
      <c r="H26" s="98"/>
      <c r="I26" s="98"/>
      <c r="J26" s="98"/>
      <c r="K26" s="98"/>
      <c r="L26" s="150"/>
      <c r="M26" s="98"/>
      <c r="N26" s="154"/>
      <c r="O26" s="98"/>
      <c r="P26" s="137">
        <f t="shared" si="1"/>
        <v>0</v>
      </c>
    </row>
    <row r="27" spans="1:16">
      <c r="A27" s="138"/>
      <c r="B27" s="96"/>
      <c r="C27" s="96"/>
      <c r="D27" s="96"/>
      <c r="E27" s="96">
        <v>3</v>
      </c>
      <c r="F27" s="96" t="s">
        <v>100</v>
      </c>
      <c r="G27" s="97"/>
      <c r="H27" s="98"/>
      <c r="I27" s="98"/>
      <c r="J27" s="98"/>
      <c r="K27" s="98"/>
      <c r="L27" s="150"/>
      <c r="M27" s="98"/>
      <c r="N27" s="154"/>
      <c r="O27" s="98"/>
      <c r="P27" s="137">
        <f t="shared" si="1"/>
        <v>0</v>
      </c>
    </row>
    <row r="28" spans="1:16">
      <c r="A28" s="138"/>
      <c r="B28" s="96"/>
      <c r="C28" s="96"/>
      <c r="D28" s="96"/>
      <c r="E28" s="96">
        <v>4</v>
      </c>
      <c r="F28" s="96" t="s">
        <v>101</v>
      </c>
      <c r="G28" s="97"/>
      <c r="H28" s="98"/>
      <c r="I28" s="98"/>
      <c r="J28" s="98"/>
      <c r="K28" s="98"/>
      <c r="L28" s="150"/>
      <c r="M28" s="98"/>
      <c r="N28" s="154"/>
      <c r="O28" s="98"/>
      <c r="P28" s="137">
        <f t="shared" si="1"/>
        <v>0</v>
      </c>
    </row>
    <row r="29" spans="1:16">
      <c r="A29" s="138"/>
      <c r="B29" s="96"/>
      <c r="C29" s="96"/>
      <c r="D29" s="96"/>
      <c r="E29" s="96">
        <v>5</v>
      </c>
      <c r="F29" s="96" t="s">
        <v>102</v>
      </c>
      <c r="G29" s="97"/>
      <c r="H29" s="98"/>
      <c r="I29" s="98"/>
      <c r="J29" s="98"/>
      <c r="K29" s="98"/>
      <c r="L29" s="150"/>
      <c r="M29" s="98"/>
      <c r="N29" s="154"/>
      <c r="O29" s="98"/>
      <c r="P29" s="137">
        <f t="shared" si="1"/>
        <v>0</v>
      </c>
    </row>
    <row r="30" spans="1:16" s="84" customFormat="1" ht="12.75" customHeight="1">
      <c r="A30" s="1051" t="s">
        <v>692</v>
      </c>
      <c r="B30" s="317"/>
      <c r="C30" s="317">
        <v>4</v>
      </c>
      <c r="D30" s="317" t="s">
        <v>992</v>
      </c>
      <c r="E30" s="317"/>
      <c r="F30" s="317"/>
      <c r="G30" s="318">
        <f t="shared" ref="G30:M30" si="5">SUM(G31:G35)</f>
        <v>0</v>
      </c>
      <c r="H30" s="319">
        <f t="shared" si="5"/>
        <v>0</v>
      </c>
      <c r="I30" s="319">
        <f t="shared" si="5"/>
        <v>0</v>
      </c>
      <c r="J30" s="319">
        <f t="shared" si="5"/>
        <v>0</v>
      </c>
      <c r="K30" s="319">
        <f t="shared" si="5"/>
        <v>0</v>
      </c>
      <c r="L30" s="320">
        <f t="shared" si="5"/>
        <v>0</v>
      </c>
      <c r="M30" s="320">
        <f t="shared" si="5"/>
        <v>0</v>
      </c>
      <c r="N30" s="321">
        <f>SUM(N31:N35)</f>
        <v>0</v>
      </c>
      <c r="O30" s="319">
        <f>SUM(O31:O35)</f>
        <v>0</v>
      </c>
      <c r="P30" s="322">
        <f t="shared" si="1"/>
        <v>0</v>
      </c>
    </row>
    <row r="31" spans="1:16">
      <c r="A31" s="138"/>
      <c r="B31" s="96"/>
      <c r="C31" s="96"/>
      <c r="D31" s="96"/>
      <c r="E31" s="96">
        <v>1</v>
      </c>
      <c r="F31" s="96" t="s">
        <v>98</v>
      </c>
      <c r="G31" s="97"/>
      <c r="H31" s="98"/>
      <c r="I31" s="98"/>
      <c r="J31" s="98"/>
      <c r="K31" s="98"/>
      <c r="L31" s="150"/>
      <c r="M31" s="98"/>
      <c r="N31" s="154"/>
      <c r="O31" s="98"/>
      <c r="P31" s="137">
        <f t="shared" si="1"/>
        <v>0</v>
      </c>
    </row>
    <row r="32" spans="1:16">
      <c r="A32" s="138"/>
      <c r="B32" s="96"/>
      <c r="C32" s="96"/>
      <c r="D32" s="96"/>
      <c r="E32" s="96">
        <v>2</v>
      </c>
      <c r="F32" s="96" t="s">
        <v>99</v>
      </c>
      <c r="G32" s="97"/>
      <c r="H32" s="98"/>
      <c r="I32" s="98"/>
      <c r="J32" s="98"/>
      <c r="K32" s="98"/>
      <c r="L32" s="150"/>
      <c r="M32" s="98"/>
      <c r="N32" s="154"/>
      <c r="O32" s="98"/>
      <c r="P32" s="137">
        <f t="shared" si="1"/>
        <v>0</v>
      </c>
    </row>
    <row r="33" spans="1:19">
      <c r="A33" s="138"/>
      <c r="B33" s="96"/>
      <c r="C33" s="96"/>
      <c r="D33" s="96"/>
      <c r="E33" s="96">
        <v>3</v>
      </c>
      <c r="F33" s="96" t="s">
        <v>100</v>
      </c>
      <c r="G33" s="97"/>
      <c r="H33" s="98"/>
      <c r="I33" s="98"/>
      <c r="J33" s="98"/>
      <c r="K33" s="98"/>
      <c r="L33" s="150"/>
      <c r="M33" s="98"/>
      <c r="N33" s="154"/>
      <c r="O33" s="98"/>
      <c r="P33" s="137">
        <f t="shared" si="1"/>
        <v>0</v>
      </c>
    </row>
    <row r="34" spans="1:19">
      <c r="A34" s="138"/>
      <c r="B34" s="96"/>
      <c r="C34" s="96"/>
      <c r="D34" s="96"/>
      <c r="E34" s="96">
        <v>4</v>
      </c>
      <c r="F34" s="96" t="s">
        <v>101</v>
      </c>
      <c r="G34" s="97"/>
      <c r="H34" s="98"/>
      <c r="I34" s="98"/>
      <c r="J34" s="98"/>
      <c r="K34" s="98"/>
      <c r="L34" s="150"/>
      <c r="M34" s="98"/>
      <c r="N34" s="154"/>
      <c r="O34" s="98"/>
      <c r="P34" s="137">
        <f t="shared" si="1"/>
        <v>0</v>
      </c>
    </row>
    <row r="35" spans="1:19">
      <c r="A35" s="138"/>
      <c r="B35" s="96"/>
      <c r="C35" s="96"/>
      <c r="D35" s="96"/>
      <c r="E35" s="96">
        <v>5</v>
      </c>
      <c r="F35" s="96" t="s">
        <v>102</v>
      </c>
      <c r="G35" s="97"/>
      <c r="H35" s="98"/>
      <c r="I35" s="98"/>
      <c r="J35" s="98"/>
      <c r="K35" s="98"/>
      <c r="L35" s="150"/>
      <c r="M35" s="98"/>
      <c r="N35" s="154"/>
      <c r="O35" s="98"/>
      <c r="P35" s="137">
        <f t="shared" si="1"/>
        <v>0</v>
      </c>
    </row>
    <row r="36" spans="1:19">
      <c r="A36" s="1051" t="s">
        <v>963</v>
      </c>
      <c r="B36" s="317"/>
      <c r="C36" s="317">
        <v>5</v>
      </c>
      <c r="D36" s="317" t="s">
        <v>993</v>
      </c>
      <c r="E36" s="317"/>
      <c r="F36" s="317"/>
      <c r="G36" s="318">
        <f t="shared" ref="G36:M36" si="6">SUM(G37:G42)</f>
        <v>0</v>
      </c>
      <c r="H36" s="319">
        <f t="shared" si="6"/>
        <v>0</v>
      </c>
      <c r="I36" s="319">
        <f>SUM(I37:I42)</f>
        <v>0</v>
      </c>
      <c r="J36" s="319">
        <f t="shared" si="6"/>
        <v>0</v>
      </c>
      <c r="K36" s="319">
        <f t="shared" si="6"/>
        <v>0</v>
      </c>
      <c r="L36" s="320">
        <f t="shared" si="6"/>
        <v>0</v>
      </c>
      <c r="M36" s="320">
        <f t="shared" si="6"/>
        <v>0</v>
      </c>
      <c r="N36" s="321">
        <f>SUM(N37:N42)</f>
        <v>0</v>
      </c>
      <c r="O36" s="319">
        <f>SUM(O37:O42)</f>
        <v>0</v>
      </c>
      <c r="P36" s="322">
        <f t="shared" ref="P36" si="7">SUM(G36:O36)</f>
        <v>0</v>
      </c>
    </row>
    <row r="37" spans="1:19">
      <c r="A37" s="136"/>
      <c r="B37" s="93"/>
      <c r="C37" s="93"/>
      <c r="D37" s="96"/>
      <c r="E37" s="96">
        <v>1</v>
      </c>
      <c r="F37" s="96" t="s">
        <v>98</v>
      </c>
      <c r="G37" s="94">
        <v>0</v>
      </c>
      <c r="H37" s="95"/>
      <c r="I37" s="95"/>
      <c r="J37" s="95"/>
      <c r="K37" s="95"/>
      <c r="L37" s="149"/>
      <c r="M37" s="95"/>
      <c r="N37" s="153"/>
      <c r="O37" s="95"/>
      <c r="P37" s="137">
        <f>SUM(G37:O37)</f>
        <v>0</v>
      </c>
    </row>
    <row r="38" spans="1:19">
      <c r="A38" s="136"/>
      <c r="B38" s="93"/>
      <c r="C38" s="93"/>
      <c r="D38" s="96"/>
      <c r="E38" s="96">
        <v>2</v>
      </c>
      <c r="F38" s="96" t="s">
        <v>99</v>
      </c>
      <c r="G38" s="94"/>
      <c r="H38" s="95"/>
      <c r="I38" s="95"/>
      <c r="J38" s="95"/>
      <c r="K38" s="95"/>
      <c r="L38" s="149"/>
      <c r="M38" s="95"/>
      <c r="N38" s="153"/>
      <c r="O38" s="153">
        <f>'P.12 Fin. Huaj 2022-2024'!Q13</f>
        <v>0</v>
      </c>
      <c r="P38" s="137">
        <f t="shared" ref="P38:P40" si="8">SUM(G38:O38)</f>
        <v>0</v>
      </c>
    </row>
    <row r="39" spans="1:19">
      <c r="A39" s="136"/>
      <c r="B39" s="93"/>
      <c r="C39" s="93"/>
      <c r="D39" s="96"/>
      <c r="E39" s="96">
        <v>3</v>
      </c>
      <c r="F39" s="96" t="s">
        <v>100</v>
      </c>
      <c r="G39" s="94"/>
      <c r="H39" s="95"/>
      <c r="I39" s="95"/>
      <c r="J39" s="95"/>
      <c r="K39" s="95"/>
      <c r="L39" s="149"/>
      <c r="M39" s="95"/>
      <c r="N39" s="153"/>
      <c r="O39" s="95"/>
      <c r="P39" s="137">
        <f t="shared" si="8"/>
        <v>0</v>
      </c>
    </row>
    <row r="40" spans="1:19">
      <c r="A40" s="136"/>
      <c r="B40" s="93"/>
      <c r="C40" s="93"/>
      <c r="D40" s="96"/>
      <c r="E40" s="96">
        <v>4</v>
      </c>
      <c r="F40" s="96" t="s">
        <v>101</v>
      </c>
      <c r="G40" s="94"/>
      <c r="H40" s="95"/>
      <c r="I40" s="95"/>
      <c r="J40" s="95"/>
      <c r="K40" s="95"/>
      <c r="L40" s="149"/>
      <c r="M40" s="95"/>
      <c r="N40" s="153"/>
      <c r="O40" s="95"/>
      <c r="P40" s="137">
        <f t="shared" si="8"/>
        <v>0</v>
      </c>
    </row>
    <row r="41" spans="1:19">
      <c r="A41" s="1105"/>
      <c r="B41" s="1106"/>
      <c r="C41" s="1106"/>
      <c r="D41" s="1107"/>
      <c r="E41" s="1107">
        <v>5</v>
      </c>
      <c r="F41" s="1107" t="s">
        <v>102</v>
      </c>
      <c r="G41" s="1108"/>
      <c r="H41" s="1109"/>
      <c r="I41" s="1109"/>
      <c r="J41" s="1109"/>
      <c r="K41" s="1109"/>
      <c r="L41" s="1110"/>
      <c r="M41" s="1109"/>
      <c r="N41" s="1111"/>
      <c r="O41" s="1109"/>
      <c r="P41" s="1112"/>
    </row>
    <row r="42" spans="1:19">
      <c r="A42" s="138"/>
      <c r="B42" s="96"/>
      <c r="C42" s="96"/>
      <c r="D42" s="96"/>
      <c r="E42" s="96">
        <v>6</v>
      </c>
      <c r="F42" s="1120" t="s">
        <v>962</v>
      </c>
      <c r="G42" s="97"/>
      <c r="H42" s="98"/>
      <c r="I42" s="98"/>
      <c r="J42" s="98"/>
      <c r="K42" s="98"/>
      <c r="L42" s="150"/>
      <c r="M42" s="98"/>
      <c r="N42" s="154">
        <v>0</v>
      </c>
      <c r="O42" s="98">
        <v>0</v>
      </c>
      <c r="P42" s="1121"/>
    </row>
    <row r="43" spans="1:19" s="84" customFormat="1" ht="11.25" customHeight="1">
      <c r="A43" s="1113" t="s">
        <v>1001</v>
      </c>
      <c r="B43" s="1114"/>
      <c r="C43" s="1114">
        <v>6</v>
      </c>
      <c r="D43" s="1114" t="s">
        <v>994</v>
      </c>
      <c r="E43" s="1114"/>
      <c r="F43" s="1114"/>
      <c r="G43" s="1115">
        <f t="shared" ref="G43:M43" si="9">SUM(G44:G49)</f>
        <v>11167</v>
      </c>
      <c r="H43" s="1116">
        <f t="shared" si="9"/>
        <v>1865</v>
      </c>
      <c r="I43" s="1116">
        <f t="shared" si="9"/>
        <v>4165</v>
      </c>
      <c r="J43" s="1116">
        <f t="shared" si="9"/>
        <v>0</v>
      </c>
      <c r="K43" s="1116">
        <f t="shared" si="9"/>
        <v>0</v>
      </c>
      <c r="L43" s="1117">
        <f t="shared" si="9"/>
        <v>5500</v>
      </c>
      <c r="M43" s="1117">
        <f t="shared" si="9"/>
        <v>0</v>
      </c>
      <c r="N43" s="1118">
        <f>SUM(N44:N49)</f>
        <v>1700</v>
      </c>
      <c r="O43" s="1116">
        <f>SUM(O44:O49)</f>
        <v>0</v>
      </c>
      <c r="P43" s="1119">
        <f t="shared" si="1"/>
        <v>24397</v>
      </c>
      <c r="R43" s="83"/>
      <c r="S43" s="83"/>
    </row>
    <row r="44" spans="1:19" s="84" customFormat="1">
      <c r="A44" s="136"/>
      <c r="B44" s="93"/>
      <c r="C44" s="93"/>
      <c r="D44" s="96"/>
      <c r="E44" s="96">
        <v>1</v>
      </c>
      <c r="F44" s="96" t="s">
        <v>98</v>
      </c>
      <c r="G44" s="94">
        <v>11167</v>
      </c>
      <c r="H44" s="95">
        <v>1865</v>
      </c>
      <c r="I44" s="95">
        <v>4165</v>
      </c>
      <c r="J44" s="95"/>
      <c r="K44" s="95"/>
      <c r="L44" s="149">
        <v>5500</v>
      </c>
      <c r="M44" s="95"/>
      <c r="N44" s="153">
        <v>1700</v>
      </c>
      <c r="O44" s="95"/>
      <c r="P44" s="137">
        <f>SUM(G44:O44)</f>
        <v>24397</v>
      </c>
      <c r="R44" s="83"/>
      <c r="S44" s="83"/>
    </row>
    <row r="45" spans="1:19" s="84" customFormat="1">
      <c r="A45" s="136"/>
      <c r="B45" s="93"/>
      <c r="C45" s="93"/>
      <c r="D45" s="96"/>
      <c r="E45" s="96">
        <v>2</v>
      </c>
      <c r="F45" s="96" t="s">
        <v>99</v>
      </c>
      <c r="G45" s="94"/>
      <c r="H45" s="95"/>
      <c r="I45" s="95"/>
      <c r="J45" s="95"/>
      <c r="K45" s="95"/>
      <c r="L45" s="149"/>
      <c r="M45" s="95"/>
      <c r="N45" s="153"/>
      <c r="O45" s="153"/>
      <c r="P45" s="137">
        <f t="shared" si="1"/>
        <v>0</v>
      </c>
      <c r="R45" s="83"/>
      <c r="S45" s="83"/>
    </row>
    <row r="46" spans="1:19" s="84" customFormat="1">
      <c r="A46" s="136"/>
      <c r="B46" s="93"/>
      <c r="C46" s="93"/>
      <c r="D46" s="96"/>
      <c r="E46" s="96">
        <v>3</v>
      </c>
      <c r="F46" s="96" t="s">
        <v>100</v>
      </c>
      <c r="G46" s="94"/>
      <c r="H46" s="95"/>
      <c r="I46" s="95"/>
      <c r="J46" s="95"/>
      <c r="K46" s="95"/>
      <c r="L46" s="149"/>
      <c r="M46" s="95"/>
      <c r="N46" s="153"/>
      <c r="O46" s="95"/>
      <c r="P46" s="137">
        <f t="shared" si="1"/>
        <v>0</v>
      </c>
      <c r="R46" s="83"/>
      <c r="S46" s="83"/>
    </row>
    <row r="47" spans="1:19" s="84" customFormat="1">
      <c r="A47" s="136"/>
      <c r="B47" s="93"/>
      <c r="C47" s="93"/>
      <c r="D47" s="96"/>
      <c r="E47" s="96">
        <v>4</v>
      </c>
      <c r="F47" s="96" t="s">
        <v>101</v>
      </c>
      <c r="G47" s="94"/>
      <c r="H47" s="95"/>
      <c r="I47" s="95"/>
      <c r="J47" s="95"/>
      <c r="K47" s="95"/>
      <c r="L47" s="149"/>
      <c r="M47" s="95"/>
      <c r="N47" s="153"/>
      <c r="O47" s="95"/>
      <c r="P47" s="137">
        <f t="shared" si="1"/>
        <v>0</v>
      </c>
      <c r="R47" s="83"/>
      <c r="S47" s="83"/>
    </row>
    <row r="48" spans="1:19" s="84" customFormat="1">
      <c r="A48" s="1105"/>
      <c r="B48" s="1106"/>
      <c r="C48" s="1106"/>
      <c r="D48" s="1107"/>
      <c r="E48" s="1107">
        <v>5</v>
      </c>
      <c r="F48" s="1107" t="s">
        <v>102</v>
      </c>
      <c r="G48" s="1108"/>
      <c r="H48" s="1109"/>
      <c r="I48" s="1109"/>
      <c r="J48" s="1109"/>
      <c r="K48" s="1109"/>
      <c r="L48" s="1110"/>
      <c r="M48" s="1109"/>
      <c r="N48" s="1111"/>
      <c r="O48" s="1109"/>
      <c r="P48" s="1112"/>
      <c r="R48" s="83"/>
      <c r="S48" s="83"/>
    </row>
    <row r="49" spans="1:16" ht="12" thickBot="1">
      <c r="A49" s="139"/>
      <c r="B49" s="140"/>
      <c r="C49" s="140"/>
      <c r="D49" s="140"/>
      <c r="E49" s="140">
        <v>6</v>
      </c>
      <c r="F49" s="141" t="s">
        <v>962</v>
      </c>
      <c r="G49" s="142"/>
      <c r="H49" s="143"/>
      <c r="I49" s="143"/>
      <c r="J49" s="143"/>
      <c r="K49" s="143"/>
      <c r="L49" s="151"/>
      <c r="M49" s="143"/>
      <c r="N49" s="155">
        <v>0</v>
      </c>
      <c r="O49" s="143">
        <v>0</v>
      </c>
      <c r="P49" s="144">
        <f>SUM(G49:O49)</f>
        <v>0</v>
      </c>
    </row>
    <row r="50" spans="1:16" ht="7.5" customHeight="1" thickTop="1"/>
    <row r="51" spans="1:16" ht="11.25" customHeight="1">
      <c r="F51" s="1635" t="s">
        <v>146</v>
      </c>
      <c r="G51" s="172" t="s">
        <v>144</v>
      </c>
      <c r="H51" s="173"/>
      <c r="I51" s="174"/>
      <c r="K51" s="1638" t="s">
        <v>240</v>
      </c>
      <c r="L51" s="172" t="s">
        <v>144</v>
      </c>
      <c r="M51" s="173"/>
      <c r="N51" s="174"/>
      <c r="P51" s="83">
        <f>'Llog_ardhurave 2022-2024'!L89-'P2. Buxheti 2022_2024'!P42-P49</f>
        <v>0</v>
      </c>
    </row>
    <row r="52" spans="1:16">
      <c r="F52" s="1636"/>
      <c r="G52" s="172" t="s">
        <v>239</v>
      </c>
      <c r="H52" s="173"/>
      <c r="I52" s="174"/>
      <c r="K52" s="1638"/>
      <c r="L52" s="172" t="s">
        <v>239</v>
      </c>
      <c r="M52" s="173"/>
      <c r="N52" s="174"/>
    </row>
    <row r="53" spans="1:16">
      <c r="F53" s="1637"/>
      <c r="G53" s="172" t="s">
        <v>145</v>
      </c>
      <c r="H53" s="175"/>
      <c r="I53" s="176"/>
      <c r="K53" s="1638"/>
      <c r="L53" s="172" t="s">
        <v>145</v>
      </c>
      <c r="M53" s="175"/>
      <c r="N53" s="176"/>
    </row>
    <row r="54" spans="1:16" ht="13.5" thickBot="1">
      <c r="A54" s="228" t="s">
        <v>236</v>
      </c>
    </row>
    <row r="55" spans="1:16" ht="13.5" thickTop="1">
      <c r="A55" s="1648" t="s">
        <v>237</v>
      </c>
      <c r="B55" s="1649"/>
      <c r="C55" s="1649"/>
      <c r="D55" s="1649"/>
      <c r="E55" s="1649"/>
      <c r="F55" s="1649"/>
      <c r="G55" s="119"/>
      <c r="H55" s="119"/>
      <c r="I55" s="119"/>
      <c r="J55" s="119"/>
      <c r="K55" s="119"/>
      <c r="L55" s="120"/>
      <c r="M55" s="120"/>
      <c r="N55" s="120"/>
      <c r="O55" s="120"/>
      <c r="P55" s="121"/>
    </row>
    <row r="56" spans="1:16" ht="13.5">
      <c r="A56" s="118"/>
      <c r="B56" s="70"/>
      <c r="C56" s="70"/>
      <c r="D56" s="70"/>
      <c r="E56" s="70"/>
      <c r="F56" s="70"/>
      <c r="G56" s="71"/>
      <c r="H56" s="70"/>
      <c r="I56" s="70"/>
      <c r="J56" s="70"/>
      <c r="K56" s="70"/>
      <c r="L56" s="70"/>
      <c r="M56" s="70"/>
      <c r="N56" s="55"/>
      <c r="O56" s="40"/>
      <c r="P56" s="124"/>
    </row>
    <row r="57" spans="1:16" ht="13.5">
      <c r="A57" s="118"/>
      <c r="B57" s="70"/>
      <c r="C57" s="70"/>
      <c r="D57" s="70"/>
      <c r="E57" s="70"/>
      <c r="F57" s="70"/>
      <c r="G57" s="70"/>
      <c r="H57" s="70"/>
      <c r="I57" s="70"/>
      <c r="J57" s="70"/>
      <c r="K57" s="70"/>
      <c r="L57" s="70"/>
      <c r="M57" s="70"/>
      <c r="N57" s="55" t="str">
        <f>CONCATENATE("Viti"," ",VALUE('Te dhena fillesat 2022'!D$4+1))</f>
        <v>Viti 2023</v>
      </c>
      <c r="O57" s="71"/>
      <c r="P57" s="124"/>
    </row>
    <row r="58" spans="1:16" ht="13.5">
      <c r="A58" s="122"/>
      <c r="B58" s="73"/>
      <c r="C58" s="73"/>
      <c r="D58" s="73"/>
      <c r="E58" s="74"/>
      <c r="F58" s="75"/>
      <c r="G58" s="76" t="s">
        <v>74</v>
      </c>
      <c r="H58" s="1650" t="s">
        <v>84</v>
      </c>
      <c r="I58" s="1650"/>
      <c r="J58" s="1650"/>
      <c r="K58" s="1651"/>
      <c r="L58" s="73"/>
      <c r="M58" s="73"/>
      <c r="N58" s="249" t="s">
        <v>219</v>
      </c>
      <c r="O58" s="71"/>
      <c r="P58" s="124"/>
    </row>
    <row r="59" spans="1:16" ht="12.75">
      <c r="A59" s="123"/>
      <c r="B59" s="71"/>
      <c r="C59" s="71"/>
      <c r="D59" s="71"/>
      <c r="E59" s="79" t="s">
        <v>217</v>
      </c>
      <c r="F59" s="80"/>
      <c r="G59" s="720" t="str">
        <f>CONCATENATE('Te dhena fillesat 2022'!$C$7)</f>
        <v>1011205</v>
      </c>
      <c r="H59" s="938" t="str">
        <f>CONCATENATE('Te dhena fillesat 2022'!$D$7)</f>
        <v>Agjensia e Sherbimeve të Sportit</v>
      </c>
      <c r="I59" s="80"/>
      <c r="J59" s="80"/>
      <c r="K59" s="81"/>
      <c r="L59" s="71"/>
      <c r="M59" s="71"/>
      <c r="N59" s="71"/>
      <c r="O59" s="71"/>
      <c r="P59" s="124"/>
    </row>
    <row r="60" spans="1:16" ht="12" thickBot="1">
      <c r="A60" s="125"/>
      <c r="B60" s="126"/>
      <c r="C60" s="126"/>
      <c r="D60" s="126"/>
      <c r="E60" s="127"/>
      <c r="F60" s="126"/>
      <c r="G60" s="163"/>
      <c r="H60" s="161"/>
      <c r="I60" s="161"/>
      <c r="J60" s="161"/>
      <c r="K60" s="162"/>
      <c r="L60" s="126"/>
      <c r="M60" s="126"/>
      <c r="N60" s="126"/>
      <c r="O60" s="126"/>
      <c r="P60" s="128"/>
    </row>
    <row r="61" spans="1:16" ht="12.75" thickTop="1" thickBot="1">
      <c r="A61" s="78"/>
      <c r="B61" s="71"/>
      <c r="C61" s="71"/>
      <c r="D61" s="71"/>
      <c r="E61" s="71"/>
      <c r="F61" s="71"/>
      <c r="G61" s="71"/>
      <c r="H61" s="71"/>
      <c r="I61" s="71"/>
      <c r="K61" s="71"/>
      <c r="L61" s="71"/>
      <c r="M61" s="71"/>
      <c r="N61" s="71" t="s">
        <v>210</v>
      </c>
      <c r="O61" s="71"/>
      <c r="P61" s="82"/>
    </row>
    <row r="62" spans="1:16" ht="12" thickTop="1">
      <c r="A62" s="129"/>
      <c r="B62" s="119"/>
      <c r="C62" s="119"/>
      <c r="D62" s="119"/>
      <c r="E62" s="119"/>
      <c r="F62" s="119"/>
      <c r="G62" s="130">
        <v>600</v>
      </c>
      <c r="H62" s="130">
        <v>601</v>
      </c>
      <c r="I62" s="130">
        <v>602</v>
      </c>
      <c r="J62" s="130">
        <v>603</v>
      </c>
      <c r="K62" s="130">
        <v>604</v>
      </c>
      <c r="L62" s="130" t="s">
        <v>70</v>
      </c>
      <c r="M62" s="130" t="s">
        <v>112</v>
      </c>
      <c r="N62" s="130" t="s">
        <v>71</v>
      </c>
      <c r="O62" s="130">
        <v>231</v>
      </c>
      <c r="P62" s="131" t="s">
        <v>85</v>
      </c>
    </row>
    <row r="63" spans="1:16" ht="42">
      <c r="A63" s="132" t="s">
        <v>83</v>
      </c>
      <c r="B63" s="85"/>
      <c r="C63" s="85" t="s">
        <v>86</v>
      </c>
      <c r="D63" s="85"/>
      <c r="E63" s="85" t="s">
        <v>87</v>
      </c>
      <c r="F63" s="85"/>
      <c r="G63" s="86" t="s">
        <v>88</v>
      </c>
      <c r="H63" s="86" t="s">
        <v>89</v>
      </c>
      <c r="I63" s="86" t="s">
        <v>90</v>
      </c>
      <c r="J63" s="86" t="s">
        <v>91</v>
      </c>
      <c r="K63" s="86" t="s">
        <v>92</v>
      </c>
      <c r="L63" s="86" t="s">
        <v>93</v>
      </c>
      <c r="M63" s="86" t="s">
        <v>113</v>
      </c>
      <c r="N63" s="86" t="s">
        <v>94</v>
      </c>
      <c r="O63" s="86" t="s">
        <v>95</v>
      </c>
      <c r="P63" s="133"/>
    </row>
    <row r="64" spans="1:16">
      <c r="A64" s="134"/>
      <c r="B64" s="89" t="s">
        <v>96</v>
      </c>
      <c r="C64" s="89"/>
      <c r="D64" s="89"/>
      <c r="E64" s="89"/>
      <c r="F64" s="89"/>
      <c r="G64" s="90">
        <f t="shared" ref="G64:O64" si="10">G65+G71+G77+G89+G96</f>
        <v>0</v>
      </c>
      <c r="H64" s="91">
        <f t="shared" si="10"/>
        <v>0</v>
      </c>
      <c r="I64" s="91">
        <f t="shared" si="10"/>
        <v>0</v>
      </c>
      <c r="J64" s="91">
        <f t="shared" si="10"/>
        <v>0</v>
      </c>
      <c r="K64" s="91">
        <f t="shared" si="10"/>
        <v>0</v>
      </c>
      <c r="L64" s="148">
        <f t="shared" si="10"/>
        <v>0</v>
      </c>
      <c r="M64" s="91">
        <f t="shared" si="10"/>
        <v>0</v>
      </c>
      <c r="N64" s="152">
        <f t="shared" si="10"/>
        <v>0</v>
      </c>
      <c r="O64" s="92">
        <f t="shared" si="10"/>
        <v>0</v>
      </c>
      <c r="P64" s="135">
        <f>SUM(G64:O64)</f>
        <v>0</v>
      </c>
    </row>
    <row r="65" spans="1:16">
      <c r="A65" s="1051" t="s">
        <v>998</v>
      </c>
      <c r="B65" s="317"/>
      <c r="C65" s="317">
        <v>1</v>
      </c>
      <c r="D65" s="317" t="s">
        <v>476</v>
      </c>
      <c r="E65" s="317"/>
      <c r="F65" s="317"/>
      <c r="G65" s="318">
        <f>SUM(G66:G70)</f>
        <v>0</v>
      </c>
      <c r="H65" s="319">
        <f t="shared" ref="H65:M65" si="11">SUM(H66:H70)</f>
        <v>0</v>
      </c>
      <c r="I65" s="319">
        <f t="shared" si="11"/>
        <v>0</v>
      </c>
      <c r="J65" s="319">
        <f t="shared" si="11"/>
        <v>0</v>
      </c>
      <c r="K65" s="319">
        <f t="shared" si="11"/>
        <v>0</v>
      </c>
      <c r="L65" s="320">
        <f t="shared" si="11"/>
        <v>0</v>
      </c>
      <c r="M65" s="319">
        <f t="shared" si="11"/>
        <v>0</v>
      </c>
      <c r="N65" s="321">
        <f>SUM(N66:N70)</f>
        <v>0</v>
      </c>
      <c r="O65" s="319">
        <f>SUM(O66:O70)</f>
        <v>0</v>
      </c>
      <c r="P65" s="322">
        <f>SUM(G65:O65)</f>
        <v>0</v>
      </c>
    </row>
    <row r="66" spans="1:16">
      <c r="A66" s="138"/>
      <c r="B66" s="96"/>
      <c r="C66" s="96"/>
      <c r="D66" s="96"/>
      <c r="E66" s="96">
        <v>1</v>
      </c>
      <c r="F66" s="96" t="s">
        <v>98</v>
      </c>
      <c r="G66" s="97"/>
      <c r="H66" s="98"/>
      <c r="I66" s="98"/>
      <c r="J66" s="98"/>
      <c r="K66" s="98"/>
      <c r="L66" s="150"/>
      <c r="M66" s="98"/>
      <c r="N66" s="154"/>
      <c r="O66" s="98"/>
      <c r="P66" s="137">
        <f>SUM(G66:O66)</f>
        <v>0</v>
      </c>
    </row>
    <row r="67" spans="1:16">
      <c r="A67" s="138"/>
      <c r="B67" s="96"/>
      <c r="C67" s="96"/>
      <c r="D67" s="96"/>
      <c r="E67" s="96">
        <v>2</v>
      </c>
      <c r="F67" s="96" t="s">
        <v>99</v>
      </c>
      <c r="G67" s="97"/>
      <c r="H67" s="98"/>
      <c r="I67" s="98"/>
      <c r="J67" s="98"/>
      <c r="K67" s="98"/>
      <c r="L67" s="150"/>
      <c r="M67" s="98"/>
      <c r="N67" s="154"/>
      <c r="O67" s="98"/>
      <c r="P67" s="137">
        <f t="shared" ref="P67:P102" si="12">SUM(G67:O67)</f>
        <v>0</v>
      </c>
    </row>
    <row r="68" spans="1:16">
      <c r="A68" s="138"/>
      <c r="B68" s="96"/>
      <c r="C68" s="96"/>
      <c r="D68" s="96"/>
      <c r="E68" s="96">
        <v>3</v>
      </c>
      <c r="F68" s="96" t="s">
        <v>100</v>
      </c>
      <c r="G68" s="97"/>
      <c r="H68" s="98"/>
      <c r="I68" s="98"/>
      <c r="J68" s="98"/>
      <c r="K68" s="98"/>
      <c r="L68" s="150"/>
      <c r="M68" s="98"/>
      <c r="N68" s="154"/>
      <c r="O68" s="98"/>
      <c r="P68" s="137">
        <f t="shared" si="12"/>
        <v>0</v>
      </c>
    </row>
    <row r="69" spans="1:16">
      <c r="A69" s="138"/>
      <c r="B69" s="96"/>
      <c r="C69" s="96"/>
      <c r="D69" s="96"/>
      <c r="E69" s="96">
        <v>4</v>
      </c>
      <c r="F69" s="96" t="s">
        <v>101</v>
      </c>
      <c r="G69" s="97"/>
      <c r="H69" s="98"/>
      <c r="I69" s="98"/>
      <c r="J69" s="98"/>
      <c r="K69" s="98"/>
      <c r="L69" s="150"/>
      <c r="M69" s="98"/>
      <c r="N69" s="154"/>
      <c r="O69" s="98"/>
      <c r="P69" s="137">
        <f t="shared" si="12"/>
        <v>0</v>
      </c>
    </row>
    <row r="70" spans="1:16">
      <c r="A70" s="138"/>
      <c r="B70" s="96"/>
      <c r="C70" s="96"/>
      <c r="D70" s="96"/>
      <c r="E70" s="96">
        <v>5</v>
      </c>
      <c r="F70" s="96" t="s">
        <v>102</v>
      </c>
      <c r="G70" s="97"/>
      <c r="H70" s="98"/>
      <c r="I70" s="98"/>
      <c r="J70" s="98"/>
      <c r="K70" s="98"/>
      <c r="L70" s="150"/>
      <c r="M70" s="98"/>
      <c r="N70" s="154"/>
      <c r="O70" s="98"/>
      <c r="P70" s="137">
        <f t="shared" si="12"/>
        <v>0</v>
      </c>
    </row>
    <row r="71" spans="1:16">
      <c r="A71" s="1051" t="s">
        <v>999</v>
      </c>
      <c r="B71" s="317"/>
      <c r="C71" s="317">
        <v>2</v>
      </c>
      <c r="D71" s="317" t="s">
        <v>477</v>
      </c>
      <c r="E71" s="317"/>
      <c r="F71" s="317"/>
      <c r="G71" s="318">
        <f t="shared" ref="G71:M71" si="13">SUM(G72:G76)</f>
        <v>0</v>
      </c>
      <c r="H71" s="319">
        <f t="shared" si="13"/>
        <v>0</v>
      </c>
      <c r="I71" s="319">
        <f t="shared" si="13"/>
        <v>0</v>
      </c>
      <c r="J71" s="319">
        <f t="shared" si="13"/>
        <v>0</v>
      </c>
      <c r="K71" s="319">
        <f t="shared" si="13"/>
        <v>0</v>
      </c>
      <c r="L71" s="320">
        <f t="shared" si="13"/>
        <v>0</v>
      </c>
      <c r="M71" s="320">
        <f t="shared" si="13"/>
        <v>0</v>
      </c>
      <c r="N71" s="321">
        <f>SUM(N72:N76)</f>
        <v>0</v>
      </c>
      <c r="O71" s="319">
        <f>SUM(O72:O76)</f>
        <v>0</v>
      </c>
      <c r="P71" s="322">
        <f t="shared" si="12"/>
        <v>0</v>
      </c>
    </row>
    <row r="72" spans="1:16">
      <c r="A72" s="138"/>
      <c r="B72" s="96"/>
      <c r="C72" s="96"/>
      <c r="D72" s="96"/>
      <c r="E72" s="96">
        <v>1</v>
      </c>
      <c r="F72" s="96" t="s">
        <v>98</v>
      </c>
      <c r="G72" s="97"/>
      <c r="H72" s="98"/>
      <c r="I72" s="98"/>
      <c r="J72" s="98"/>
      <c r="K72" s="98"/>
      <c r="L72" s="150"/>
      <c r="M72" s="98"/>
      <c r="N72" s="154"/>
      <c r="O72" s="98"/>
      <c r="P72" s="137">
        <f t="shared" si="12"/>
        <v>0</v>
      </c>
    </row>
    <row r="73" spans="1:16">
      <c r="A73" s="138"/>
      <c r="B73" s="96"/>
      <c r="C73" s="96"/>
      <c r="D73" s="96"/>
      <c r="E73" s="96">
        <v>2</v>
      </c>
      <c r="F73" s="96" t="s">
        <v>99</v>
      </c>
      <c r="G73" s="97"/>
      <c r="H73" s="98"/>
      <c r="I73" s="98"/>
      <c r="J73" s="98"/>
      <c r="K73" s="98"/>
      <c r="L73" s="150"/>
      <c r="M73" s="98"/>
      <c r="N73" s="154"/>
      <c r="O73" s="98"/>
      <c r="P73" s="137">
        <f t="shared" si="12"/>
        <v>0</v>
      </c>
    </row>
    <row r="74" spans="1:16">
      <c r="A74" s="138"/>
      <c r="B74" s="96"/>
      <c r="C74" s="96"/>
      <c r="D74" s="96"/>
      <c r="E74" s="96">
        <v>3</v>
      </c>
      <c r="F74" s="96" t="s">
        <v>100</v>
      </c>
      <c r="G74" s="97"/>
      <c r="H74" s="98"/>
      <c r="I74" s="98"/>
      <c r="J74" s="98"/>
      <c r="K74" s="98"/>
      <c r="L74" s="150"/>
      <c r="M74" s="98"/>
      <c r="N74" s="154"/>
      <c r="O74" s="98"/>
      <c r="P74" s="137">
        <f t="shared" si="12"/>
        <v>0</v>
      </c>
    </row>
    <row r="75" spans="1:16">
      <c r="A75" s="138"/>
      <c r="B75" s="96"/>
      <c r="C75" s="96"/>
      <c r="D75" s="96"/>
      <c r="E75" s="96">
        <v>4</v>
      </c>
      <c r="F75" s="96" t="s">
        <v>101</v>
      </c>
      <c r="G75" s="97"/>
      <c r="H75" s="98"/>
      <c r="I75" s="98"/>
      <c r="J75" s="98"/>
      <c r="K75" s="98"/>
      <c r="L75" s="150"/>
      <c r="M75" s="98"/>
      <c r="N75" s="154"/>
      <c r="O75" s="98"/>
      <c r="P75" s="137">
        <f t="shared" si="12"/>
        <v>0</v>
      </c>
    </row>
    <row r="76" spans="1:16">
      <c r="A76" s="138"/>
      <c r="B76" s="96"/>
      <c r="C76" s="96"/>
      <c r="D76" s="96"/>
      <c r="E76" s="96">
        <v>5</v>
      </c>
      <c r="F76" s="96" t="s">
        <v>102</v>
      </c>
      <c r="G76" s="97"/>
      <c r="H76" s="98"/>
      <c r="I76" s="98"/>
      <c r="J76" s="98"/>
      <c r="K76" s="98"/>
      <c r="L76" s="150"/>
      <c r="M76" s="98"/>
      <c r="N76" s="154"/>
      <c r="O76" s="98"/>
      <c r="P76" s="137">
        <f t="shared" si="12"/>
        <v>0</v>
      </c>
    </row>
    <row r="77" spans="1:16">
      <c r="A77" s="1051" t="s">
        <v>1000</v>
      </c>
      <c r="B77" s="317"/>
      <c r="C77" s="317">
        <v>3</v>
      </c>
      <c r="D77" s="317" t="s">
        <v>478</v>
      </c>
      <c r="E77" s="317"/>
      <c r="F77" s="317"/>
      <c r="G77" s="318">
        <f t="shared" ref="G77:M77" si="14">SUM(G78:G82)</f>
        <v>0</v>
      </c>
      <c r="H77" s="319">
        <f t="shared" si="14"/>
        <v>0</v>
      </c>
      <c r="I77" s="319">
        <f t="shared" si="14"/>
        <v>0</v>
      </c>
      <c r="J77" s="319">
        <f t="shared" si="14"/>
        <v>0</v>
      </c>
      <c r="K77" s="319">
        <f t="shared" si="14"/>
        <v>0</v>
      </c>
      <c r="L77" s="320">
        <f t="shared" si="14"/>
        <v>0</v>
      </c>
      <c r="M77" s="320">
        <f t="shared" si="14"/>
        <v>0</v>
      </c>
      <c r="N77" s="321">
        <f>SUM(N78:N82)</f>
        <v>0</v>
      </c>
      <c r="O77" s="319">
        <f>SUM(O78:O82)</f>
        <v>0</v>
      </c>
      <c r="P77" s="322">
        <f t="shared" si="12"/>
        <v>0</v>
      </c>
    </row>
    <row r="78" spans="1:16">
      <c r="A78" s="138"/>
      <c r="B78" s="96"/>
      <c r="C78" s="96"/>
      <c r="D78" s="96"/>
      <c r="E78" s="96">
        <v>1</v>
      </c>
      <c r="F78" s="96" t="s">
        <v>98</v>
      </c>
      <c r="G78" s="97"/>
      <c r="H78" s="98"/>
      <c r="I78" s="98"/>
      <c r="J78" s="98"/>
      <c r="K78" s="98"/>
      <c r="L78" s="150"/>
      <c r="M78" s="98"/>
      <c r="N78" s="154"/>
      <c r="O78" s="98"/>
      <c r="P78" s="137">
        <f t="shared" si="12"/>
        <v>0</v>
      </c>
    </row>
    <row r="79" spans="1:16">
      <c r="A79" s="138"/>
      <c r="B79" s="96"/>
      <c r="C79" s="96"/>
      <c r="D79" s="96"/>
      <c r="E79" s="96">
        <v>2</v>
      </c>
      <c r="F79" s="96" t="s">
        <v>99</v>
      </c>
      <c r="G79" s="97"/>
      <c r="H79" s="98"/>
      <c r="I79" s="98"/>
      <c r="J79" s="98"/>
      <c r="K79" s="98"/>
      <c r="L79" s="150"/>
      <c r="M79" s="98"/>
      <c r="N79" s="154"/>
      <c r="O79" s="98"/>
      <c r="P79" s="137">
        <f t="shared" si="12"/>
        <v>0</v>
      </c>
    </row>
    <row r="80" spans="1:16">
      <c r="A80" s="138"/>
      <c r="B80" s="96"/>
      <c r="C80" s="96"/>
      <c r="D80" s="96"/>
      <c r="E80" s="96">
        <v>3</v>
      </c>
      <c r="F80" s="96" t="s">
        <v>100</v>
      </c>
      <c r="G80" s="97"/>
      <c r="H80" s="98"/>
      <c r="I80" s="98"/>
      <c r="J80" s="98"/>
      <c r="K80" s="98"/>
      <c r="L80" s="150"/>
      <c r="M80" s="98"/>
      <c r="N80" s="154"/>
      <c r="O80" s="98"/>
      <c r="P80" s="137">
        <f t="shared" si="12"/>
        <v>0</v>
      </c>
    </row>
    <row r="81" spans="1:16">
      <c r="A81" s="138"/>
      <c r="B81" s="96"/>
      <c r="C81" s="96"/>
      <c r="D81" s="96"/>
      <c r="E81" s="96">
        <v>4</v>
      </c>
      <c r="F81" s="96" t="s">
        <v>101</v>
      </c>
      <c r="G81" s="97"/>
      <c r="H81" s="98"/>
      <c r="I81" s="98"/>
      <c r="J81" s="98"/>
      <c r="K81" s="98"/>
      <c r="L81" s="150"/>
      <c r="M81" s="98"/>
      <c r="N81" s="154"/>
      <c r="O81" s="98"/>
      <c r="P81" s="137">
        <f t="shared" si="12"/>
        <v>0</v>
      </c>
    </row>
    <row r="82" spans="1:16">
      <c r="A82" s="138"/>
      <c r="B82" s="96"/>
      <c r="C82" s="96"/>
      <c r="D82" s="96"/>
      <c r="E82" s="96">
        <v>5</v>
      </c>
      <c r="F82" s="96" t="s">
        <v>102</v>
      </c>
      <c r="G82" s="97"/>
      <c r="H82" s="98"/>
      <c r="I82" s="98"/>
      <c r="J82" s="98"/>
      <c r="K82" s="98"/>
      <c r="L82" s="150"/>
      <c r="M82" s="98"/>
      <c r="N82" s="154"/>
      <c r="O82" s="98"/>
      <c r="P82" s="137">
        <f t="shared" si="12"/>
        <v>0</v>
      </c>
    </row>
    <row r="83" spans="1:16">
      <c r="A83" s="1051" t="s">
        <v>692</v>
      </c>
      <c r="B83" s="317"/>
      <c r="C83" s="317">
        <v>4</v>
      </c>
      <c r="D83" s="317" t="s">
        <v>997</v>
      </c>
      <c r="E83" s="317"/>
      <c r="F83" s="317"/>
      <c r="G83" s="318">
        <f t="shared" ref="G83:O83" si="15">SUM(G84:G88)</f>
        <v>0</v>
      </c>
      <c r="H83" s="319">
        <f t="shared" si="15"/>
        <v>0</v>
      </c>
      <c r="I83" s="319">
        <f t="shared" si="15"/>
        <v>0</v>
      </c>
      <c r="J83" s="319">
        <f t="shared" si="15"/>
        <v>0</v>
      </c>
      <c r="K83" s="319">
        <f t="shared" si="15"/>
        <v>0</v>
      </c>
      <c r="L83" s="320">
        <f t="shared" si="15"/>
        <v>0</v>
      </c>
      <c r="M83" s="320">
        <f t="shared" si="15"/>
        <v>0</v>
      </c>
      <c r="N83" s="321">
        <f t="shared" si="15"/>
        <v>0</v>
      </c>
      <c r="O83" s="319">
        <f t="shared" si="15"/>
        <v>0</v>
      </c>
      <c r="P83" s="322">
        <f t="shared" ref="P83" si="16">SUM(G83:O83)</f>
        <v>0</v>
      </c>
    </row>
    <row r="84" spans="1:16">
      <c r="A84" s="138"/>
      <c r="B84" s="96"/>
      <c r="C84" s="96"/>
      <c r="D84" s="96"/>
      <c r="E84" s="96">
        <v>1</v>
      </c>
      <c r="F84" s="96" t="s">
        <v>98</v>
      </c>
      <c r="G84" s="94"/>
      <c r="H84" s="95"/>
      <c r="I84" s="95"/>
      <c r="J84" s="95"/>
      <c r="K84" s="95"/>
      <c r="L84" s="149"/>
      <c r="M84" s="95"/>
      <c r="N84" s="153"/>
      <c r="O84" s="95"/>
      <c r="P84" s="137">
        <f>SUM(G84:O84)</f>
        <v>0</v>
      </c>
    </row>
    <row r="85" spans="1:16">
      <c r="A85" s="138"/>
      <c r="B85" s="96"/>
      <c r="C85" s="96"/>
      <c r="D85" s="96"/>
      <c r="E85" s="96">
        <v>2</v>
      </c>
      <c r="F85" s="96" t="s">
        <v>99</v>
      </c>
      <c r="G85" s="94"/>
      <c r="H85" s="95"/>
      <c r="I85" s="95"/>
      <c r="J85" s="95"/>
      <c r="K85" s="95"/>
      <c r="L85" s="149"/>
      <c r="M85" s="95"/>
      <c r="N85" s="153"/>
      <c r="O85" s="95"/>
      <c r="P85" s="137">
        <f>SUM(G85:O85)</f>
        <v>0</v>
      </c>
    </row>
    <row r="86" spans="1:16">
      <c r="A86" s="138"/>
      <c r="B86" s="96"/>
      <c r="C86" s="96"/>
      <c r="D86" s="96"/>
      <c r="E86" s="96">
        <v>3</v>
      </c>
      <c r="F86" s="96" t="s">
        <v>100</v>
      </c>
      <c r="G86" s="94"/>
      <c r="H86" s="95"/>
      <c r="I86" s="95"/>
      <c r="J86" s="95"/>
      <c r="K86" s="95"/>
      <c r="L86" s="149"/>
      <c r="M86" s="95"/>
      <c r="N86" s="153"/>
      <c r="O86" s="95"/>
      <c r="P86" s="137">
        <f>SUM(G86:O86)</f>
        <v>0</v>
      </c>
    </row>
    <row r="87" spans="1:16">
      <c r="A87" s="138"/>
      <c r="B87" s="96"/>
      <c r="C87" s="96"/>
      <c r="D87" s="96"/>
      <c r="E87" s="96">
        <v>4</v>
      </c>
      <c r="F87" s="96" t="s">
        <v>101</v>
      </c>
      <c r="G87" s="94"/>
      <c r="H87" s="95"/>
      <c r="I87" s="95"/>
      <c r="J87" s="95"/>
      <c r="K87" s="95"/>
      <c r="L87" s="149"/>
      <c r="M87" s="95"/>
      <c r="N87" s="153"/>
      <c r="O87" s="95"/>
      <c r="P87" s="137">
        <f>SUM(G87:O87)</f>
        <v>0</v>
      </c>
    </row>
    <row r="88" spans="1:16">
      <c r="A88" s="138"/>
      <c r="B88" s="96"/>
      <c r="C88" s="96"/>
      <c r="D88" s="96"/>
      <c r="E88" s="1107">
        <v>5</v>
      </c>
      <c r="F88" s="1107" t="s">
        <v>102</v>
      </c>
      <c r="G88" s="1108"/>
      <c r="H88" s="1109"/>
      <c r="I88" s="1109"/>
      <c r="J88" s="1109"/>
      <c r="K88" s="1109"/>
      <c r="L88" s="1110"/>
      <c r="M88" s="1109"/>
      <c r="N88" s="1111"/>
      <c r="O88" s="1109"/>
      <c r="P88" s="1112"/>
    </row>
    <row r="89" spans="1:16">
      <c r="A89" s="1051" t="s">
        <v>963</v>
      </c>
      <c r="B89" s="317"/>
      <c r="C89" s="317">
        <v>5</v>
      </c>
      <c r="D89" s="317" t="s">
        <v>950</v>
      </c>
      <c r="E89" s="317"/>
      <c r="F89" s="317"/>
      <c r="G89" s="318">
        <f>SUM(G90:G95)</f>
        <v>0</v>
      </c>
      <c r="H89" s="319">
        <f t="shared" ref="H89:M89" si="17">SUM(H90:H95)</f>
        <v>0</v>
      </c>
      <c r="I89" s="319">
        <f t="shared" si="17"/>
        <v>0</v>
      </c>
      <c r="J89" s="319">
        <f t="shared" si="17"/>
        <v>0</v>
      </c>
      <c r="K89" s="319">
        <f t="shared" si="17"/>
        <v>0</v>
      </c>
      <c r="L89" s="320">
        <f t="shared" si="17"/>
        <v>0</v>
      </c>
      <c r="M89" s="320">
        <f t="shared" si="17"/>
        <v>0</v>
      </c>
      <c r="N89" s="321">
        <f>SUM(N90:N95)</f>
        <v>0</v>
      </c>
      <c r="O89" s="319">
        <f>SUM(O90:O95)</f>
        <v>0</v>
      </c>
      <c r="P89" s="322">
        <f t="shared" si="12"/>
        <v>0</v>
      </c>
    </row>
    <row r="90" spans="1:16">
      <c r="A90" s="136"/>
      <c r="B90" s="96"/>
      <c r="C90" s="96"/>
      <c r="D90" s="96"/>
      <c r="E90" s="96">
        <v>1</v>
      </c>
      <c r="F90" s="96" t="s">
        <v>98</v>
      </c>
      <c r="G90" s="94"/>
      <c r="H90" s="95"/>
      <c r="I90" s="95"/>
      <c r="J90" s="95"/>
      <c r="K90" s="95"/>
      <c r="L90" s="149"/>
      <c r="M90" s="95"/>
      <c r="N90" s="153">
        <v>0</v>
      </c>
      <c r="O90" s="95">
        <v>0</v>
      </c>
      <c r="P90" s="137">
        <f>SUM(G90:O90)</f>
        <v>0</v>
      </c>
    </row>
    <row r="91" spans="1:16">
      <c r="A91" s="136"/>
      <c r="B91" s="96"/>
      <c r="C91" s="96"/>
      <c r="D91" s="96"/>
      <c r="E91" s="96">
        <v>2</v>
      </c>
      <c r="F91" s="96" t="s">
        <v>99</v>
      </c>
      <c r="G91" s="94"/>
      <c r="H91" s="95"/>
      <c r="I91" s="95"/>
      <c r="J91" s="95"/>
      <c r="K91" s="95"/>
      <c r="L91" s="149"/>
      <c r="M91" s="95"/>
      <c r="N91" s="153"/>
      <c r="O91" s="95">
        <f>'P.12 Fin. Huaj 2022-2024'!S13</f>
        <v>0</v>
      </c>
      <c r="P91" s="137">
        <f>SUM(G91:O91)</f>
        <v>0</v>
      </c>
    </row>
    <row r="92" spans="1:16">
      <c r="A92" s="136"/>
      <c r="B92" s="96"/>
      <c r="C92" s="96"/>
      <c r="D92" s="96"/>
      <c r="E92" s="96">
        <v>3</v>
      </c>
      <c r="F92" s="96" t="s">
        <v>100</v>
      </c>
      <c r="G92" s="94"/>
      <c r="H92" s="95"/>
      <c r="I92" s="95"/>
      <c r="J92" s="95"/>
      <c r="K92" s="95"/>
      <c r="L92" s="149"/>
      <c r="M92" s="95"/>
      <c r="N92" s="153"/>
      <c r="O92" s="95"/>
      <c r="P92" s="137">
        <f>SUM(G92:O92)</f>
        <v>0</v>
      </c>
    </row>
    <row r="93" spans="1:16">
      <c r="A93" s="136"/>
      <c r="B93" s="96"/>
      <c r="C93" s="96"/>
      <c r="D93" s="96"/>
      <c r="E93" s="96">
        <v>4</v>
      </c>
      <c r="F93" s="96" t="s">
        <v>101</v>
      </c>
      <c r="G93" s="94"/>
      <c r="H93" s="95"/>
      <c r="I93" s="95"/>
      <c r="J93" s="95"/>
      <c r="K93" s="95"/>
      <c r="L93" s="149"/>
      <c r="M93" s="95"/>
      <c r="N93" s="153"/>
      <c r="O93" s="95"/>
      <c r="P93" s="137">
        <f>SUM(G93:O93)</f>
        <v>0</v>
      </c>
    </row>
    <row r="94" spans="1:16">
      <c r="A94" s="1105"/>
      <c r="B94" s="96"/>
      <c r="C94" s="96"/>
      <c r="D94" s="96"/>
      <c r="E94" s="1107">
        <v>5</v>
      </c>
      <c r="F94" s="1107" t="s">
        <v>102</v>
      </c>
      <c r="G94" s="1108"/>
      <c r="H94" s="1109"/>
      <c r="I94" s="1109"/>
      <c r="J94" s="1109"/>
      <c r="K94" s="1109"/>
      <c r="L94" s="1110"/>
      <c r="M94" s="1109"/>
      <c r="N94" s="1111"/>
      <c r="O94" s="1109"/>
      <c r="P94" s="1112"/>
    </row>
    <row r="95" spans="1:16">
      <c r="A95" s="138"/>
      <c r="B95" s="96"/>
      <c r="C95" s="96"/>
      <c r="D95" s="96"/>
      <c r="E95" s="96">
        <v>6</v>
      </c>
      <c r="F95" s="1120" t="s">
        <v>962</v>
      </c>
      <c r="G95" s="973"/>
      <c r="H95" s="974"/>
      <c r="I95" s="974"/>
      <c r="J95" s="974"/>
      <c r="K95" s="974"/>
      <c r="L95" s="975"/>
      <c r="M95" s="974"/>
      <c r="N95" s="976">
        <v>0</v>
      </c>
      <c r="O95" s="974">
        <v>0</v>
      </c>
      <c r="P95" s="977">
        <f>SUM(G95:O95)</f>
        <v>0</v>
      </c>
    </row>
    <row r="96" spans="1:16">
      <c r="A96" s="1113" t="s">
        <v>1001</v>
      </c>
      <c r="B96" s="317"/>
      <c r="C96" s="317">
        <v>6</v>
      </c>
      <c r="D96" s="317" t="s">
        <v>1008</v>
      </c>
      <c r="E96" s="317"/>
      <c r="F96" s="317"/>
      <c r="G96" s="318">
        <f t="shared" ref="G96:M96" si="18">SUM(G97:G102)</f>
        <v>0</v>
      </c>
      <c r="H96" s="319">
        <f t="shared" si="18"/>
        <v>0</v>
      </c>
      <c r="I96" s="319">
        <f t="shared" si="18"/>
        <v>0</v>
      </c>
      <c r="J96" s="319">
        <f t="shared" si="18"/>
        <v>0</v>
      </c>
      <c r="K96" s="319">
        <f t="shared" si="18"/>
        <v>0</v>
      </c>
      <c r="L96" s="320">
        <f t="shared" si="18"/>
        <v>0</v>
      </c>
      <c r="M96" s="320">
        <f t="shared" si="18"/>
        <v>0</v>
      </c>
      <c r="N96" s="321">
        <f>SUM(N97:N102)</f>
        <v>0</v>
      </c>
      <c r="O96" s="319">
        <f>SUM(O97:O102)</f>
        <v>0</v>
      </c>
      <c r="P96" s="322">
        <f t="shared" si="12"/>
        <v>0</v>
      </c>
    </row>
    <row r="97" spans="1:16">
      <c r="A97" s="136"/>
      <c r="B97" s="93"/>
      <c r="C97" s="93"/>
      <c r="D97" s="96"/>
      <c r="E97" s="96">
        <v>1</v>
      </c>
      <c r="F97" s="96" t="s">
        <v>98</v>
      </c>
      <c r="G97" s="94">
        <f>G90*105%</f>
        <v>0</v>
      </c>
      <c r="H97" s="95">
        <f>H90*105%</f>
        <v>0</v>
      </c>
      <c r="I97" s="95"/>
      <c r="J97" s="95"/>
      <c r="K97" s="95"/>
      <c r="L97" s="149"/>
      <c r="M97" s="95"/>
      <c r="N97" s="153">
        <v>0</v>
      </c>
      <c r="O97" s="95">
        <v>0</v>
      </c>
      <c r="P97" s="137">
        <f t="shared" si="12"/>
        <v>0</v>
      </c>
    </row>
    <row r="98" spans="1:16">
      <c r="A98" s="136"/>
      <c r="B98" s="93"/>
      <c r="C98" s="93"/>
      <c r="D98" s="96"/>
      <c r="E98" s="96">
        <v>2</v>
      </c>
      <c r="F98" s="96" t="s">
        <v>99</v>
      </c>
      <c r="G98" s="94"/>
      <c r="H98" s="95"/>
      <c r="I98" s="95"/>
      <c r="J98" s="95"/>
      <c r="K98" s="95"/>
      <c r="L98" s="149"/>
      <c r="M98" s="95"/>
      <c r="N98" s="153"/>
      <c r="O98" s="95"/>
      <c r="P98" s="137">
        <f t="shared" si="12"/>
        <v>0</v>
      </c>
    </row>
    <row r="99" spans="1:16">
      <c r="A99" s="136"/>
      <c r="B99" s="93"/>
      <c r="C99" s="93"/>
      <c r="D99" s="96"/>
      <c r="E99" s="96">
        <v>3</v>
      </c>
      <c r="F99" s="96" t="s">
        <v>100</v>
      </c>
      <c r="G99" s="94"/>
      <c r="H99" s="95"/>
      <c r="I99" s="95"/>
      <c r="J99" s="95"/>
      <c r="K99" s="95"/>
      <c r="L99" s="149"/>
      <c r="M99" s="95"/>
      <c r="N99" s="153"/>
      <c r="O99" s="95"/>
      <c r="P99" s="137">
        <f t="shared" si="12"/>
        <v>0</v>
      </c>
    </row>
    <row r="100" spans="1:16">
      <c r="A100" s="136"/>
      <c r="B100" s="93"/>
      <c r="C100" s="93"/>
      <c r="D100" s="96"/>
      <c r="E100" s="96">
        <v>4</v>
      </c>
      <c r="F100" s="96" t="s">
        <v>101</v>
      </c>
      <c r="G100" s="94"/>
      <c r="H100" s="95"/>
      <c r="I100" s="95"/>
      <c r="J100" s="95"/>
      <c r="K100" s="95"/>
      <c r="L100" s="149"/>
      <c r="M100" s="95"/>
      <c r="N100" s="153"/>
      <c r="O100" s="95"/>
      <c r="P100" s="137">
        <f t="shared" si="12"/>
        <v>0</v>
      </c>
    </row>
    <row r="101" spans="1:16">
      <c r="A101" s="1105"/>
      <c r="B101" s="1106"/>
      <c r="C101" s="1106"/>
      <c r="D101" s="1107"/>
      <c r="E101" s="1107">
        <v>5</v>
      </c>
      <c r="F101" s="1107" t="s">
        <v>102</v>
      </c>
      <c r="G101" s="1108"/>
      <c r="H101" s="1109"/>
      <c r="I101" s="1109"/>
      <c r="J101" s="1109"/>
      <c r="K101" s="1109"/>
      <c r="L101" s="1110"/>
      <c r="M101" s="1109"/>
      <c r="N101" s="1111"/>
      <c r="O101" s="1109"/>
      <c r="P101" s="1112"/>
    </row>
    <row r="102" spans="1:16" ht="12" thickBot="1">
      <c r="A102" s="139"/>
      <c r="B102" s="140"/>
      <c r="C102" s="140"/>
      <c r="D102" s="140"/>
      <c r="E102" s="140">
        <v>6</v>
      </c>
      <c r="F102" s="141" t="s">
        <v>962</v>
      </c>
      <c r="G102" s="142"/>
      <c r="H102" s="143"/>
      <c r="I102" s="143"/>
      <c r="J102" s="143"/>
      <c r="K102" s="143"/>
      <c r="L102" s="151"/>
      <c r="M102" s="143"/>
      <c r="N102" s="155">
        <v>0</v>
      </c>
      <c r="O102" s="143">
        <v>0</v>
      </c>
      <c r="P102" s="144">
        <f t="shared" si="12"/>
        <v>0</v>
      </c>
    </row>
    <row r="103" spans="1:16" ht="12" thickTop="1">
      <c r="P103" s="83">
        <f>'Llog_ardhurave 2022-2024'!O89-P95-P102</f>
        <v>0</v>
      </c>
    </row>
    <row r="104" spans="1:16">
      <c r="F104" s="1635" t="s">
        <v>146</v>
      </c>
      <c r="G104" s="172" t="s">
        <v>144</v>
      </c>
      <c r="H104" s="173">
        <f>'Te dhena fillesat 2022'!$D$11</f>
        <v>0</v>
      </c>
      <c r="I104" s="174"/>
      <c r="K104" s="1638" t="s">
        <v>240</v>
      </c>
      <c r="L104" s="172" t="s">
        <v>144</v>
      </c>
      <c r="M104" s="173">
        <f>'Te dhena fillesat 2022'!$D$13</f>
        <v>0</v>
      </c>
      <c r="N104" s="174"/>
    </row>
    <row r="105" spans="1:16">
      <c r="F105" s="1636"/>
      <c r="G105" s="172" t="s">
        <v>239</v>
      </c>
      <c r="H105" s="173"/>
      <c r="I105" s="174"/>
      <c r="K105" s="1638"/>
      <c r="L105" s="172" t="s">
        <v>239</v>
      </c>
      <c r="M105" s="173"/>
      <c r="N105" s="174"/>
    </row>
    <row r="106" spans="1:16">
      <c r="F106" s="1637"/>
      <c r="G106" s="172" t="s">
        <v>145</v>
      </c>
      <c r="H106" s="175"/>
      <c r="I106" s="176"/>
      <c r="K106" s="1638"/>
      <c r="L106" s="172" t="s">
        <v>145</v>
      </c>
      <c r="M106" s="175"/>
      <c r="N106" s="176"/>
    </row>
    <row r="107" spans="1:16" ht="13.5" thickBot="1">
      <c r="A107" s="228" t="s">
        <v>236</v>
      </c>
    </row>
    <row r="108" spans="1:16" ht="13.5" thickTop="1">
      <c r="A108" s="1648" t="s">
        <v>237</v>
      </c>
      <c r="B108" s="1649"/>
      <c r="C108" s="1649"/>
      <c r="D108" s="1649"/>
      <c r="E108" s="1649"/>
      <c r="F108" s="1649"/>
      <c r="G108" s="119"/>
      <c r="H108" s="119"/>
      <c r="I108" s="119"/>
      <c r="J108" s="119"/>
      <c r="K108" s="119"/>
      <c r="L108" s="120"/>
      <c r="M108" s="120"/>
      <c r="N108" s="120"/>
      <c r="O108" s="120"/>
      <c r="P108" s="121"/>
    </row>
    <row r="109" spans="1:16" ht="13.5">
      <c r="A109" s="118"/>
      <c r="B109" s="70"/>
      <c r="C109" s="70"/>
      <c r="D109" s="70"/>
      <c r="E109" s="70"/>
      <c r="F109" s="70"/>
      <c r="G109" s="71"/>
      <c r="H109" s="70"/>
      <c r="I109" s="70"/>
      <c r="J109" s="70"/>
      <c r="K109" s="70"/>
      <c r="L109" s="70"/>
      <c r="M109" s="70"/>
      <c r="N109" s="55" t="str">
        <f>CONCATENATE("PBA"," ",VALUE('Te dhena fillesat 2022'!D$4))</f>
        <v>PBA 2022</v>
      </c>
      <c r="O109" s="40"/>
      <c r="P109" s="124"/>
    </row>
    <row r="110" spans="1:16" ht="13.5">
      <c r="A110" s="118"/>
      <c r="B110" s="70"/>
      <c r="C110" s="70"/>
      <c r="D110" s="70"/>
      <c r="E110" s="70"/>
      <c r="F110" s="70"/>
      <c r="G110" s="70"/>
      <c r="H110" s="70"/>
      <c r="I110" s="70"/>
      <c r="J110" s="70"/>
      <c r="K110" s="70"/>
      <c r="L110" s="70"/>
      <c r="M110" s="70"/>
      <c r="N110" s="55" t="str">
        <f>CONCATENATE("Viti"," ",VALUE('Te dhena fillesat 2022'!D$4+2))</f>
        <v>Viti 2024</v>
      </c>
      <c r="O110" s="71"/>
      <c r="P110" s="124"/>
    </row>
    <row r="111" spans="1:16" ht="13.5">
      <c r="A111" s="122"/>
      <c r="B111" s="73"/>
      <c r="C111" s="73"/>
      <c r="D111" s="73"/>
      <c r="E111" s="74"/>
      <c r="F111" s="75"/>
      <c r="G111" s="76" t="s">
        <v>74</v>
      </c>
      <c r="H111" s="1650" t="s">
        <v>84</v>
      </c>
      <c r="I111" s="1650"/>
      <c r="J111" s="1650"/>
      <c r="K111" s="1651"/>
      <c r="L111" s="73"/>
      <c r="M111" s="73"/>
      <c r="N111" s="249" t="s">
        <v>219</v>
      </c>
      <c r="O111" s="71"/>
      <c r="P111" s="124"/>
    </row>
    <row r="112" spans="1:16" ht="12.75">
      <c r="A112" s="123"/>
      <c r="B112" s="71"/>
      <c r="C112" s="71"/>
      <c r="D112" s="71"/>
      <c r="E112" s="79" t="s">
        <v>217</v>
      </c>
      <c r="F112" s="80"/>
      <c r="G112" s="720" t="str">
        <f>CONCATENATE('Te dhena fillesat 2022'!$C$7)</f>
        <v>1011205</v>
      </c>
      <c r="H112" s="938" t="str">
        <f>CONCATENATE('Te dhena fillesat 2022'!$D$7)</f>
        <v>Agjensia e Sherbimeve të Sportit</v>
      </c>
      <c r="I112" s="80"/>
      <c r="J112" s="80"/>
      <c r="K112" s="81"/>
      <c r="L112" s="71"/>
      <c r="M112" s="71"/>
      <c r="N112" s="71"/>
      <c r="O112" s="71"/>
      <c r="P112" s="124"/>
    </row>
    <row r="113" spans="1:16" ht="12" thickBot="1">
      <c r="A113" s="125"/>
      <c r="B113" s="126"/>
      <c r="C113" s="126"/>
      <c r="D113" s="126"/>
      <c r="E113" s="127"/>
      <c r="F113" s="126"/>
      <c r="G113" s="163"/>
      <c r="H113" s="161"/>
      <c r="I113" s="161"/>
      <c r="J113" s="161"/>
      <c r="K113" s="162"/>
      <c r="L113" s="126"/>
      <c r="M113" s="126"/>
      <c r="N113" s="126"/>
      <c r="O113" s="126"/>
      <c r="P113" s="128"/>
    </row>
    <row r="114" spans="1:16" ht="12.75" thickTop="1" thickBot="1">
      <c r="A114" s="78"/>
      <c r="B114" s="71"/>
      <c r="C114" s="71"/>
      <c r="D114" s="71"/>
      <c r="E114" s="71"/>
      <c r="F114" s="71"/>
      <c r="G114" s="71"/>
      <c r="H114" s="71"/>
      <c r="I114" s="71"/>
      <c r="K114" s="71"/>
      <c r="L114" s="71"/>
      <c r="M114" s="71"/>
      <c r="N114" s="71" t="s">
        <v>210</v>
      </c>
      <c r="O114" s="71"/>
      <c r="P114" s="82"/>
    </row>
    <row r="115" spans="1:16" ht="12" thickTop="1">
      <c r="A115" s="129"/>
      <c r="B115" s="119"/>
      <c r="C115" s="119"/>
      <c r="D115" s="119"/>
      <c r="E115" s="119"/>
      <c r="F115" s="119"/>
      <c r="G115" s="130">
        <v>600</v>
      </c>
      <c r="H115" s="130">
        <v>601</v>
      </c>
      <c r="I115" s="130">
        <v>602</v>
      </c>
      <c r="J115" s="130">
        <v>603</v>
      </c>
      <c r="K115" s="130">
        <v>604</v>
      </c>
      <c r="L115" s="130" t="s">
        <v>70</v>
      </c>
      <c r="M115" s="130" t="s">
        <v>112</v>
      </c>
      <c r="N115" s="130" t="s">
        <v>71</v>
      </c>
      <c r="O115" s="130">
        <v>231</v>
      </c>
      <c r="P115" s="131" t="s">
        <v>85</v>
      </c>
    </row>
    <row r="116" spans="1:16" ht="42">
      <c r="A116" s="132" t="s">
        <v>83</v>
      </c>
      <c r="B116" s="85"/>
      <c r="C116" s="85" t="s">
        <v>86</v>
      </c>
      <c r="D116" s="85"/>
      <c r="E116" s="85" t="s">
        <v>87</v>
      </c>
      <c r="F116" s="85"/>
      <c r="G116" s="86" t="s">
        <v>88</v>
      </c>
      <c r="H116" s="86" t="s">
        <v>89</v>
      </c>
      <c r="I116" s="86" t="s">
        <v>90</v>
      </c>
      <c r="J116" s="86" t="s">
        <v>91</v>
      </c>
      <c r="K116" s="86" t="s">
        <v>92</v>
      </c>
      <c r="L116" s="86" t="s">
        <v>93</v>
      </c>
      <c r="M116" s="86" t="s">
        <v>113</v>
      </c>
      <c r="N116" s="86" t="s">
        <v>94</v>
      </c>
      <c r="O116" s="86" t="s">
        <v>95</v>
      </c>
      <c r="P116" s="133"/>
    </row>
    <row r="117" spans="1:16">
      <c r="A117" s="134"/>
      <c r="B117" s="89" t="s">
        <v>96</v>
      </c>
      <c r="C117" s="89"/>
      <c r="D117" s="89"/>
      <c r="E117" s="89"/>
      <c r="F117" s="89"/>
      <c r="G117" s="90">
        <f t="shared" ref="G117:O117" si="19">G118+G124+G130+G142+G149</f>
        <v>0</v>
      </c>
      <c r="H117" s="91">
        <f t="shared" si="19"/>
        <v>0</v>
      </c>
      <c r="I117" s="91">
        <f t="shared" si="19"/>
        <v>0</v>
      </c>
      <c r="J117" s="91">
        <f t="shared" si="19"/>
        <v>0</v>
      </c>
      <c r="K117" s="91">
        <f t="shared" si="19"/>
        <v>0</v>
      </c>
      <c r="L117" s="148">
        <f t="shared" si="19"/>
        <v>0</v>
      </c>
      <c r="M117" s="91">
        <f t="shared" si="19"/>
        <v>0</v>
      </c>
      <c r="N117" s="152">
        <f t="shared" si="19"/>
        <v>0</v>
      </c>
      <c r="O117" s="92">
        <f t="shared" si="19"/>
        <v>0</v>
      </c>
      <c r="P117" s="135">
        <f>SUM(G117:O117)</f>
        <v>0</v>
      </c>
    </row>
    <row r="118" spans="1:16">
      <c r="A118" s="1051" t="s">
        <v>998</v>
      </c>
      <c r="B118" s="317"/>
      <c r="C118" s="317">
        <v>1</v>
      </c>
      <c r="D118" s="317" t="s">
        <v>476</v>
      </c>
      <c r="E118" s="317"/>
      <c r="F118" s="317"/>
      <c r="G118" s="318">
        <f>SUM(G119:G123)</f>
        <v>0</v>
      </c>
      <c r="H118" s="319">
        <f t="shared" ref="H118:M118" si="20">SUM(H119:H123)</f>
        <v>0</v>
      </c>
      <c r="I118" s="319">
        <f t="shared" si="20"/>
        <v>0</v>
      </c>
      <c r="J118" s="319">
        <f t="shared" si="20"/>
        <v>0</v>
      </c>
      <c r="K118" s="319">
        <f t="shared" si="20"/>
        <v>0</v>
      </c>
      <c r="L118" s="320">
        <f t="shared" si="20"/>
        <v>0</v>
      </c>
      <c r="M118" s="319">
        <f t="shared" si="20"/>
        <v>0</v>
      </c>
      <c r="N118" s="321">
        <f>SUM(N119:N123)</f>
        <v>0</v>
      </c>
      <c r="O118" s="319">
        <f>SUM(O119:O123)</f>
        <v>0</v>
      </c>
      <c r="P118" s="322">
        <f>SUM(G118:O118)</f>
        <v>0</v>
      </c>
    </row>
    <row r="119" spans="1:16">
      <c r="A119" s="138"/>
      <c r="B119" s="96"/>
      <c r="C119" s="96"/>
      <c r="D119" s="96"/>
      <c r="E119" s="96">
        <v>1</v>
      </c>
      <c r="F119" s="96" t="s">
        <v>98</v>
      </c>
      <c r="G119" s="97"/>
      <c r="H119" s="98"/>
      <c r="I119" s="98"/>
      <c r="J119" s="98"/>
      <c r="K119" s="98"/>
      <c r="L119" s="150"/>
      <c r="M119" s="98"/>
      <c r="N119" s="154"/>
      <c r="O119" s="98"/>
      <c r="P119" s="137">
        <f>SUM(G119:O119)</f>
        <v>0</v>
      </c>
    </row>
    <row r="120" spans="1:16">
      <c r="A120" s="138"/>
      <c r="B120" s="96"/>
      <c r="C120" s="96"/>
      <c r="D120" s="96"/>
      <c r="E120" s="96">
        <v>2</v>
      </c>
      <c r="F120" s="96" t="s">
        <v>99</v>
      </c>
      <c r="G120" s="97"/>
      <c r="H120" s="98"/>
      <c r="I120" s="98"/>
      <c r="J120" s="98"/>
      <c r="K120" s="98"/>
      <c r="L120" s="150"/>
      <c r="M120" s="98"/>
      <c r="N120" s="154"/>
      <c r="O120" s="98"/>
      <c r="P120" s="137">
        <f t="shared" ref="P120:P142" si="21">SUM(G120:O120)</f>
        <v>0</v>
      </c>
    </row>
    <row r="121" spans="1:16">
      <c r="A121" s="138"/>
      <c r="B121" s="96"/>
      <c r="C121" s="96"/>
      <c r="D121" s="96"/>
      <c r="E121" s="96">
        <v>3</v>
      </c>
      <c r="F121" s="96" t="s">
        <v>100</v>
      </c>
      <c r="G121" s="97"/>
      <c r="H121" s="98"/>
      <c r="I121" s="98"/>
      <c r="J121" s="98"/>
      <c r="K121" s="98"/>
      <c r="L121" s="150"/>
      <c r="M121" s="98"/>
      <c r="N121" s="154"/>
      <c r="O121" s="98"/>
      <c r="P121" s="137">
        <f t="shared" si="21"/>
        <v>0</v>
      </c>
    </row>
    <row r="122" spans="1:16">
      <c r="A122" s="138"/>
      <c r="B122" s="96"/>
      <c r="C122" s="96"/>
      <c r="D122" s="96"/>
      <c r="E122" s="96">
        <v>4</v>
      </c>
      <c r="F122" s="96" t="s">
        <v>101</v>
      </c>
      <c r="G122" s="97"/>
      <c r="H122" s="98"/>
      <c r="I122" s="98"/>
      <c r="J122" s="98"/>
      <c r="K122" s="98"/>
      <c r="L122" s="150"/>
      <c r="M122" s="98"/>
      <c r="N122" s="154"/>
      <c r="O122" s="98"/>
      <c r="P122" s="137">
        <f t="shared" si="21"/>
        <v>0</v>
      </c>
    </row>
    <row r="123" spans="1:16">
      <c r="A123" s="138"/>
      <c r="B123" s="96"/>
      <c r="C123" s="96"/>
      <c r="D123" s="96"/>
      <c r="E123" s="96">
        <v>5</v>
      </c>
      <c r="F123" s="96" t="s">
        <v>102</v>
      </c>
      <c r="G123" s="97"/>
      <c r="H123" s="98"/>
      <c r="I123" s="98"/>
      <c r="J123" s="98"/>
      <c r="K123" s="98"/>
      <c r="L123" s="150"/>
      <c r="M123" s="98"/>
      <c r="N123" s="154"/>
      <c r="O123" s="98"/>
      <c r="P123" s="137">
        <f t="shared" si="21"/>
        <v>0</v>
      </c>
    </row>
    <row r="124" spans="1:16">
      <c r="A124" s="1051" t="s">
        <v>999</v>
      </c>
      <c r="B124" s="317"/>
      <c r="C124" s="317">
        <v>2</v>
      </c>
      <c r="D124" s="317" t="s">
        <v>477</v>
      </c>
      <c r="E124" s="317"/>
      <c r="F124" s="317"/>
      <c r="G124" s="318">
        <f t="shared" ref="G124:M124" si="22">SUM(G125:G129)</f>
        <v>0</v>
      </c>
      <c r="H124" s="319">
        <f t="shared" si="22"/>
        <v>0</v>
      </c>
      <c r="I124" s="319">
        <f t="shared" si="22"/>
        <v>0</v>
      </c>
      <c r="J124" s="319">
        <f t="shared" si="22"/>
        <v>0</v>
      </c>
      <c r="K124" s="319">
        <f t="shared" si="22"/>
        <v>0</v>
      </c>
      <c r="L124" s="320">
        <f t="shared" si="22"/>
        <v>0</v>
      </c>
      <c r="M124" s="320">
        <f t="shared" si="22"/>
        <v>0</v>
      </c>
      <c r="N124" s="321">
        <f>SUM(N125:N129)</f>
        <v>0</v>
      </c>
      <c r="O124" s="319">
        <f>SUM(O125:O129)</f>
        <v>0</v>
      </c>
      <c r="P124" s="322">
        <f t="shared" si="21"/>
        <v>0</v>
      </c>
    </row>
    <row r="125" spans="1:16">
      <c r="A125" s="138"/>
      <c r="B125" s="96"/>
      <c r="C125" s="96"/>
      <c r="D125" s="96"/>
      <c r="E125" s="96">
        <v>1</v>
      </c>
      <c r="F125" s="96" t="s">
        <v>98</v>
      </c>
      <c r="G125" s="97"/>
      <c r="H125" s="98"/>
      <c r="I125" s="98"/>
      <c r="J125" s="98"/>
      <c r="K125" s="98"/>
      <c r="L125" s="150"/>
      <c r="M125" s="98"/>
      <c r="N125" s="154"/>
      <c r="O125" s="98"/>
      <c r="P125" s="137">
        <f t="shared" si="21"/>
        <v>0</v>
      </c>
    </row>
    <row r="126" spans="1:16">
      <c r="A126" s="138"/>
      <c r="B126" s="96"/>
      <c r="C126" s="96"/>
      <c r="D126" s="96"/>
      <c r="E126" s="96">
        <v>2</v>
      </c>
      <c r="F126" s="96" t="s">
        <v>99</v>
      </c>
      <c r="G126" s="97"/>
      <c r="H126" s="98"/>
      <c r="I126" s="98"/>
      <c r="J126" s="98"/>
      <c r="K126" s="98"/>
      <c r="L126" s="150"/>
      <c r="M126" s="98"/>
      <c r="N126" s="154"/>
      <c r="O126" s="98"/>
      <c r="P126" s="137">
        <f t="shared" si="21"/>
        <v>0</v>
      </c>
    </row>
    <row r="127" spans="1:16">
      <c r="A127" s="138"/>
      <c r="B127" s="96"/>
      <c r="C127" s="96"/>
      <c r="D127" s="96"/>
      <c r="E127" s="96">
        <v>3</v>
      </c>
      <c r="F127" s="96" t="s">
        <v>100</v>
      </c>
      <c r="G127" s="97"/>
      <c r="H127" s="98"/>
      <c r="I127" s="98"/>
      <c r="J127" s="98"/>
      <c r="K127" s="98"/>
      <c r="L127" s="150"/>
      <c r="M127" s="98"/>
      <c r="N127" s="154"/>
      <c r="O127" s="98"/>
      <c r="P127" s="137">
        <f t="shared" si="21"/>
        <v>0</v>
      </c>
    </row>
    <row r="128" spans="1:16">
      <c r="A128" s="138"/>
      <c r="B128" s="96"/>
      <c r="C128" s="96"/>
      <c r="D128" s="96"/>
      <c r="E128" s="96">
        <v>4</v>
      </c>
      <c r="F128" s="96" t="s">
        <v>101</v>
      </c>
      <c r="G128" s="97"/>
      <c r="H128" s="98"/>
      <c r="I128" s="98"/>
      <c r="J128" s="98"/>
      <c r="K128" s="98"/>
      <c r="L128" s="150"/>
      <c r="M128" s="98"/>
      <c r="N128" s="154"/>
      <c r="O128" s="98"/>
      <c r="P128" s="137">
        <f t="shared" si="21"/>
        <v>0</v>
      </c>
    </row>
    <row r="129" spans="1:16">
      <c r="A129" s="138"/>
      <c r="B129" s="96"/>
      <c r="C129" s="96"/>
      <c r="D129" s="96"/>
      <c r="E129" s="96">
        <v>5</v>
      </c>
      <c r="F129" s="96" t="s">
        <v>102</v>
      </c>
      <c r="G129" s="97"/>
      <c r="H129" s="98"/>
      <c r="I129" s="98"/>
      <c r="J129" s="98"/>
      <c r="K129" s="98"/>
      <c r="L129" s="150"/>
      <c r="M129" s="98"/>
      <c r="N129" s="154"/>
      <c r="O129" s="98"/>
      <c r="P129" s="137">
        <f t="shared" si="21"/>
        <v>0</v>
      </c>
    </row>
    <row r="130" spans="1:16">
      <c r="A130" s="1051" t="s">
        <v>1000</v>
      </c>
      <c r="B130" s="317"/>
      <c r="C130" s="317">
        <v>3</v>
      </c>
      <c r="D130" s="317" t="s">
        <v>478</v>
      </c>
      <c r="E130" s="317"/>
      <c r="F130" s="317"/>
      <c r="G130" s="318">
        <f t="shared" ref="G130:M130" si="23">SUM(G131:G135)</f>
        <v>0</v>
      </c>
      <c r="H130" s="319">
        <f t="shared" si="23"/>
        <v>0</v>
      </c>
      <c r="I130" s="319">
        <f t="shared" si="23"/>
        <v>0</v>
      </c>
      <c r="J130" s="319">
        <f t="shared" si="23"/>
        <v>0</v>
      </c>
      <c r="K130" s="319">
        <f t="shared" si="23"/>
        <v>0</v>
      </c>
      <c r="L130" s="320">
        <f t="shared" si="23"/>
        <v>0</v>
      </c>
      <c r="M130" s="320">
        <f t="shared" si="23"/>
        <v>0</v>
      </c>
      <c r="N130" s="321">
        <f>SUM(N131:N135)</f>
        <v>0</v>
      </c>
      <c r="O130" s="319">
        <f>SUM(O131:O135)</f>
        <v>0</v>
      </c>
      <c r="P130" s="322">
        <f t="shared" si="21"/>
        <v>0</v>
      </c>
    </row>
    <row r="131" spans="1:16">
      <c r="A131" s="138"/>
      <c r="B131" s="96"/>
      <c r="C131" s="96"/>
      <c r="D131" s="96"/>
      <c r="E131" s="96">
        <v>1</v>
      </c>
      <c r="F131" s="96" t="s">
        <v>98</v>
      </c>
      <c r="G131" s="97"/>
      <c r="H131" s="98"/>
      <c r="I131" s="98"/>
      <c r="J131" s="98"/>
      <c r="K131" s="98"/>
      <c r="L131" s="150"/>
      <c r="M131" s="98"/>
      <c r="N131" s="154"/>
      <c r="O131" s="98"/>
      <c r="P131" s="137">
        <f t="shared" si="21"/>
        <v>0</v>
      </c>
    </row>
    <row r="132" spans="1:16">
      <c r="A132" s="138"/>
      <c r="B132" s="96"/>
      <c r="C132" s="96"/>
      <c r="D132" s="96"/>
      <c r="E132" s="96">
        <v>2</v>
      </c>
      <c r="F132" s="96" t="s">
        <v>99</v>
      </c>
      <c r="G132" s="97"/>
      <c r="H132" s="98"/>
      <c r="I132" s="98"/>
      <c r="J132" s="98"/>
      <c r="K132" s="98"/>
      <c r="L132" s="150"/>
      <c r="M132" s="98"/>
      <c r="N132" s="154"/>
      <c r="O132" s="98"/>
      <c r="P132" s="137">
        <f t="shared" si="21"/>
        <v>0</v>
      </c>
    </row>
    <row r="133" spans="1:16">
      <c r="A133" s="138"/>
      <c r="B133" s="96"/>
      <c r="C133" s="96"/>
      <c r="D133" s="96"/>
      <c r="E133" s="96">
        <v>3</v>
      </c>
      <c r="F133" s="96" t="s">
        <v>100</v>
      </c>
      <c r="G133" s="97"/>
      <c r="H133" s="98"/>
      <c r="I133" s="98"/>
      <c r="J133" s="98"/>
      <c r="K133" s="98"/>
      <c r="L133" s="150"/>
      <c r="M133" s="98"/>
      <c r="N133" s="154"/>
      <c r="O133" s="98"/>
      <c r="P133" s="137">
        <f t="shared" si="21"/>
        <v>0</v>
      </c>
    </row>
    <row r="134" spans="1:16">
      <c r="A134" s="138"/>
      <c r="B134" s="96"/>
      <c r="C134" s="96"/>
      <c r="D134" s="96"/>
      <c r="E134" s="96">
        <v>4</v>
      </c>
      <c r="F134" s="96" t="s">
        <v>101</v>
      </c>
      <c r="G134" s="97"/>
      <c r="H134" s="98"/>
      <c r="I134" s="98"/>
      <c r="J134" s="98"/>
      <c r="K134" s="98"/>
      <c r="L134" s="150"/>
      <c r="M134" s="98"/>
      <c r="N134" s="154"/>
      <c r="O134" s="98"/>
      <c r="P134" s="137">
        <f t="shared" si="21"/>
        <v>0</v>
      </c>
    </row>
    <row r="135" spans="1:16">
      <c r="A135" s="138"/>
      <c r="B135" s="96"/>
      <c r="C135" s="96"/>
      <c r="D135" s="96"/>
      <c r="E135" s="96">
        <v>5</v>
      </c>
      <c r="F135" s="96" t="s">
        <v>102</v>
      </c>
      <c r="G135" s="97"/>
      <c r="H135" s="98"/>
      <c r="I135" s="98"/>
      <c r="J135" s="98"/>
      <c r="K135" s="98"/>
      <c r="L135" s="150"/>
      <c r="M135" s="98"/>
      <c r="N135" s="154"/>
      <c r="O135" s="98"/>
      <c r="P135" s="137">
        <f t="shared" si="21"/>
        <v>0</v>
      </c>
    </row>
    <row r="136" spans="1:16">
      <c r="A136" s="1051" t="s">
        <v>692</v>
      </c>
      <c r="B136" s="317"/>
      <c r="C136" s="317">
        <v>4</v>
      </c>
      <c r="D136" s="317" t="s">
        <v>949</v>
      </c>
      <c r="E136" s="317"/>
      <c r="F136" s="317"/>
      <c r="G136" s="318">
        <f t="shared" ref="G136:O136" si="24">SUM(G137:G141)</f>
        <v>0</v>
      </c>
      <c r="H136" s="319">
        <f t="shared" si="24"/>
        <v>0</v>
      </c>
      <c r="I136" s="319">
        <f t="shared" si="24"/>
        <v>0</v>
      </c>
      <c r="J136" s="319">
        <f t="shared" si="24"/>
        <v>0</v>
      </c>
      <c r="K136" s="319">
        <f t="shared" si="24"/>
        <v>0</v>
      </c>
      <c r="L136" s="320">
        <f t="shared" si="24"/>
        <v>0</v>
      </c>
      <c r="M136" s="320">
        <f t="shared" si="24"/>
        <v>0</v>
      </c>
      <c r="N136" s="321">
        <f t="shared" si="24"/>
        <v>0</v>
      </c>
      <c r="O136" s="319">
        <f t="shared" si="24"/>
        <v>0</v>
      </c>
      <c r="P136" s="322">
        <f t="shared" si="21"/>
        <v>0</v>
      </c>
    </row>
    <row r="137" spans="1:16">
      <c r="A137" s="138"/>
      <c r="B137" s="96"/>
      <c r="C137" s="96"/>
      <c r="D137" s="96"/>
      <c r="E137" s="96">
        <v>1</v>
      </c>
      <c r="F137" s="96" t="s">
        <v>98</v>
      </c>
      <c r="G137" s="94"/>
      <c r="H137" s="95"/>
      <c r="I137" s="95"/>
      <c r="J137" s="95"/>
      <c r="K137" s="95"/>
      <c r="L137" s="149"/>
      <c r="M137" s="95"/>
      <c r="N137" s="153"/>
      <c r="O137" s="95"/>
      <c r="P137" s="137">
        <f>SUM(G137:O137)</f>
        <v>0</v>
      </c>
    </row>
    <row r="138" spans="1:16">
      <c r="A138" s="138"/>
      <c r="B138" s="96"/>
      <c r="C138" s="96"/>
      <c r="D138" s="96"/>
      <c r="E138" s="96">
        <v>2</v>
      </c>
      <c r="F138" s="96" t="s">
        <v>99</v>
      </c>
      <c r="G138" s="94"/>
      <c r="H138" s="95"/>
      <c r="I138" s="95"/>
      <c r="J138" s="95"/>
      <c r="K138" s="95"/>
      <c r="L138" s="149"/>
      <c r="M138" s="95"/>
      <c r="N138" s="153"/>
      <c r="O138" s="95"/>
      <c r="P138" s="137">
        <f>SUM(G138:O138)</f>
        <v>0</v>
      </c>
    </row>
    <row r="139" spans="1:16">
      <c r="A139" s="138"/>
      <c r="B139" s="96"/>
      <c r="C139" s="96"/>
      <c r="D139" s="96"/>
      <c r="E139" s="96">
        <v>3</v>
      </c>
      <c r="F139" s="96" t="s">
        <v>100</v>
      </c>
      <c r="G139" s="94"/>
      <c r="H139" s="95"/>
      <c r="I139" s="95"/>
      <c r="J139" s="95"/>
      <c r="K139" s="95"/>
      <c r="L139" s="149"/>
      <c r="M139" s="95"/>
      <c r="N139" s="153"/>
      <c r="O139" s="95"/>
      <c r="P139" s="137">
        <f>SUM(G139:O139)</f>
        <v>0</v>
      </c>
    </row>
    <row r="140" spans="1:16">
      <c r="A140" s="138"/>
      <c r="B140" s="96"/>
      <c r="C140" s="96"/>
      <c r="D140" s="96"/>
      <c r="E140" s="96">
        <v>4</v>
      </c>
      <c r="F140" s="96" t="s">
        <v>101</v>
      </c>
      <c r="G140" s="94"/>
      <c r="H140" s="95"/>
      <c r="I140" s="95"/>
      <c r="J140" s="95"/>
      <c r="K140" s="95"/>
      <c r="L140" s="149"/>
      <c r="M140" s="95"/>
      <c r="N140" s="153"/>
      <c r="O140" s="95"/>
      <c r="P140" s="137">
        <f>SUM(G140:O140)</f>
        <v>0</v>
      </c>
    </row>
    <row r="141" spans="1:16">
      <c r="A141" s="138"/>
      <c r="B141" s="96"/>
      <c r="C141" s="96"/>
      <c r="D141" s="96"/>
      <c r="E141" s="1107">
        <v>5</v>
      </c>
      <c r="F141" s="1107" t="s">
        <v>102</v>
      </c>
      <c r="G141" s="1108"/>
      <c r="H141" s="1109"/>
      <c r="I141" s="1109"/>
      <c r="J141" s="1109"/>
      <c r="K141" s="1109"/>
      <c r="L141" s="1110"/>
      <c r="M141" s="1109"/>
      <c r="N141" s="1111"/>
      <c r="O141" s="1109"/>
      <c r="P141" s="1112"/>
    </row>
    <row r="142" spans="1:16">
      <c r="A142" s="1051" t="s">
        <v>963</v>
      </c>
      <c r="B142" s="317"/>
      <c r="C142" s="317">
        <v>5</v>
      </c>
      <c r="D142" s="317" t="s">
        <v>950</v>
      </c>
      <c r="E142" s="317"/>
      <c r="F142" s="317"/>
      <c r="G142" s="318">
        <f>SUM(G143:G148)</f>
        <v>0</v>
      </c>
      <c r="H142" s="319">
        <f t="shared" ref="H142:M142" si="25">SUM(H143:H148)</f>
        <v>0</v>
      </c>
      <c r="I142" s="319">
        <f t="shared" si="25"/>
        <v>0</v>
      </c>
      <c r="J142" s="319">
        <f t="shared" si="25"/>
        <v>0</v>
      </c>
      <c r="K142" s="319">
        <f t="shared" si="25"/>
        <v>0</v>
      </c>
      <c r="L142" s="320">
        <f t="shared" si="25"/>
        <v>0</v>
      </c>
      <c r="M142" s="320">
        <f t="shared" si="25"/>
        <v>0</v>
      </c>
      <c r="N142" s="321">
        <f>SUM(N143:N148)</f>
        <v>0</v>
      </c>
      <c r="O142" s="319">
        <f>SUM(O143:O148)</f>
        <v>0</v>
      </c>
      <c r="P142" s="322">
        <f t="shared" si="21"/>
        <v>0</v>
      </c>
    </row>
    <row r="143" spans="1:16">
      <c r="A143" s="136"/>
      <c r="B143" s="96"/>
      <c r="C143" s="96"/>
      <c r="D143" s="96"/>
      <c r="E143" s="96">
        <v>1</v>
      </c>
      <c r="F143" s="96" t="s">
        <v>98</v>
      </c>
      <c r="G143" s="94"/>
      <c r="H143" s="95"/>
      <c r="I143" s="95"/>
      <c r="J143" s="95"/>
      <c r="K143" s="95"/>
      <c r="L143" s="149"/>
      <c r="M143" s="95"/>
      <c r="N143" s="153">
        <v>0</v>
      </c>
      <c r="O143" s="95">
        <v>0</v>
      </c>
      <c r="P143" s="137">
        <f>SUM(G143:O143)</f>
        <v>0</v>
      </c>
    </row>
    <row r="144" spans="1:16">
      <c r="A144" s="136"/>
      <c r="B144" s="96"/>
      <c r="C144" s="96"/>
      <c r="D144" s="96"/>
      <c r="E144" s="96">
        <v>2</v>
      </c>
      <c r="F144" s="96" t="s">
        <v>99</v>
      </c>
      <c r="G144" s="94"/>
      <c r="H144" s="95"/>
      <c r="I144" s="95"/>
      <c r="J144" s="95"/>
      <c r="K144" s="95"/>
      <c r="L144" s="149"/>
      <c r="M144" s="95"/>
      <c r="N144" s="153"/>
      <c r="O144" s="95">
        <f>'P.12 Fin. Huaj 2022-2024'!U13</f>
        <v>0</v>
      </c>
      <c r="P144" s="137">
        <f>SUM(G144:O144)</f>
        <v>0</v>
      </c>
    </row>
    <row r="145" spans="1:16">
      <c r="A145" s="136"/>
      <c r="B145" s="96"/>
      <c r="C145" s="96"/>
      <c r="D145" s="96"/>
      <c r="E145" s="96">
        <v>3</v>
      </c>
      <c r="F145" s="96" t="s">
        <v>100</v>
      </c>
      <c r="G145" s="94"/>
      <c r="H145" s="95"/>
      <c r="I145" s="95"/>
      <c r="J145" s="95"/>
      <c r="K145" s="95"/>
      <c r="L145" s="149"/>
      <c r="M145" s="95"/>
      <c r="N145" s="153"/>
      <c r="O145" s="95"/>
      <c r="P145" s="137">
        <f>SUM(G145:O145)</f>
        <v>0</v>
      </c>
    </row>
    <row r="146" spans="1:16">
      <c r="A146" s="136"/>
      <c r="B146" s="96"/>
      <c r="C146" s="96"/>
      <c r="D146" s="96"/>
      <c r="E146" s="96">
        <v>4</v>
      </c>
      <c r="F146" s="96" t="s">
        <v>101</v>
      </c>
      <c r="G146" s="94"/>
      <c r="H146" s="95"/>
      <c r="I146" s="95"/>
      <c r="J146" s="95"/>
      <c r="K146" s="95"/>
      <c r="L146" s="149"/>
      <c r="M146" s="95"/>
      <c r="N146" s="153"/>
      <c r="O146" s="95"/>
      <c r="P146" s="137">
        <f>SUM(G146:O146)</f>
        <v>0</v>
      </c>
    </row>
    <row r="147" spans="1:16">
      <c r="A147" s="1105"/>
      <c r="B147" s="96"/>
      <c r="C147" s="96"/>
      <c r="D147" s="96"/>
      <c r="E147" s="1107">
        <v>5</v>
      </c>
      <c r="F147" s="1107" t="s">
        <v>102</v>
      </c>
      <c r="G147" s="1108"/>
      <c r="H147" s="1109"/>
      <c r="I147" s="1109"/>
      <c r="J147" s="1109"/>
      <c r="K147" s="1109"/>
      <c r="L147" s="1110"/>
      <c r="M147" s="1109"/>
      <c r="N147" s="1111"/>
      <c r="O147" s="1109"/>
      <c r="P147" s="1112"/>
    </row>
    <row r="148" spans="1:16">
      <c r="A148" s="138"/>
      <c r="B148" s="96"/>
      <c r="C148" s="96"/>
      <c r="D148" s="96"/>
      <c r="E148" s="96">
        <v>6</v>
      </c>
      <c r="F148" s="1120" t="s">
        <v>962</v>
      </c>
      <c r="G148" s="973"/>
      <c r="H148" s="974"/>
      <c r="I148" s="974"/>
      <c r="J148" s="974"/>
      <c r="K148" s="974"/>
      <c r="L148" s="975"/>
      <c r="M148" s="974"/>
      <c r="N148" s="976">
        <v>0</v>
      </c>
      <c r="O148" s="974">
        <v>0</v>
      </c>
      <c r="P148" s="977">
        <f>SUM(G148:O148)</f>
        <v>0</v>
      </c>
    </row>
    <row r="149" spans="1:16">
      <c r="A149" s="1113" t="s">
        <v>1001</v>
      </c>
      <c r="B149" s="317"/>
      <c r="C149" s="317">
        <v>6</v>
      </c>
      <c r="D149" s="317" t="s">
        <v>1009</v>
      </c>
      <c r="E149" s="317"/>
      <c r="F149" s="317"/>
      <c r="G149" s="318">
        <f t="shared" ref="G149:M149" si="26">SUM(G150:G155)</f>
        <v>0</v>
      </c>
      <c r="H149" s="319">
        <f t="shared" si="26"/>
        <v>0</v>
      </c>
      <c r="I149" s="319">
        <f t="shared" si="26"/>
        <v>0</v>
      </c>
      <c r="J149" s="319">
        <f t="shared" si="26"/>
        <v>0</v>
      </c>
      <c r="K149" s="319">
        <f t="shared" si="26"/>
        <v>0</v>
      </c>
      <c r="L149" s="320">
        <f t="shared" si="26"/>
        <v>0</v>
      </c>
      <c r="M149" s="320">
        <f t="shared" si="26"/>
        <v>0</v>
      </c>
      <c r="N149" s="321">
        <f>SUM(N150:N155)</f>
        <v>0</v>
      </c>
      <c r="O149" s="319">
        <f>SUM(O150:O155)</f>
        <v>0</v>
      </c>
      <c r="P149" s="322">
        <f t="shared" ref="P149:P155" si="27">SUM(G149:O149)</f>
        <v>0</v>
      </c>
    </row>
    <row r="150" spans="1:16">
      <c r="A150" s="136"/>
      <c r="B150" s="93"/>
      <c r="C150" s="93"/>
      <c r="D150" s="96"/>
      <c r="E150" s="96">
        <v>1</v>
      </c>
      <c r="F150" s="96" t="s">
        <v>98</v>
      </c>
      <c r="G150" s="94"/>
      <c r="H150" s="95"/>
      <c r="I150" s="95"/>
      <c r="J150" s="95"/>
      <c r="K150" s="95"/>
      <c r="L150" s="149"/>
      <c r="M150" s="95"/>
      <c r="N150" s="153">
        <v>0</v>
      </c>
      <c r="O150" s="95">
        <v>0</v>
      </c>
      <c r="P150" s="137">
        <f t="shared" si="27"/>
        <v>0</v>
      </c>
    </row>
    <row r="151" spans="1:16">
      <c r="A151" s="136"/>
      <c r="B151" s="93"/>
      <c r="C151" s="93"/>
      <c r="D151" s="96"/>
      <c r="E151" s="96">
        <v>2</v>
      </c>
      <c r="F151" s="96" t="s">
        <v>99</v>
      </c>
      <c r="G151" s="94"/>
      <c r="H151" s="95"/>
      <c r="I151" s="95"/>
      <c r="J151" s="95"/>
      <c r="K151" s="95"/>
      <c r="L151" s="149"/>
      <c r="M151" s="95"/>
      <c r="N151" s="153"/>
      <c r="O151" s="95"/>
      <c r="P151" s="137">
        <f t="shared" si="27"/>
        <v>0</v>
      </c>
    </row>
    <row r="152" spans="1:16">
      <c r="A152" s="136"/>
      <c r="B152" s="93"/>
      <c r="C152" s="93"/>
      <c r="D152" s="96"/>
      <c r="E152" s="96">
        <v>3</v>
      </c>
      <c r="F152" s="96" t="s">
        <v>100</v>
      </c>
      <c r="G152" s="94"/>
      <c r="H152" s="95"/>
      <c r="I152" s="95"/>
      <c r="J152" s="95"/>
      <c r="K152" s="95"/>
      <c r="L152" s="149"/>
      <c r="M152" s="95"/>
      <c r="N152" s="153"/>
      <c r="O152" s="95"/>
      <c r="P152" s="137">
        <f t="shared" si="27"/>
        <v>0</v>
      </c>
    </row>
    <row r="153" spans="1:16">
      <c r="A153" s="136"/>
      <c r="B153" s="93"/>
      <c r="C153" s="93"/>
      <c r="D153" s="96"/>
      <c r="E153" s="96">
        <v>4</v>
      </c>
      <c r="F153" s="96" t="s">
        <v>101</v>
      </c>
      <c r="G153" s="94"/>
      <c r="H153" s="95"/>
      <c r="I153" s="95"/>
      <c r="J153" s="95"/>
      <c r="K153" s="95"/>
      <c r="L153" s="149"/>
      <c r="M153" s="95"/>
      <c r="N153" s="153"/>
      <c r="O153" s="95"/>
      <c r="P153" s="137">
        <f t="shared" si="27"/>
        <v>0</v>
      </c>
    </row>
    <row r="154" spans="1:16">
      <c r="A154" s="1105"/>
      <c r="B154" s="1106"/>
      <c r="C154" s="1106"/>
      <c r="D154" s="1107"/>
      <c r="E154" s="1107">
        <v>5</v>
      </c>
      <c r="F154" s="1107" t="s">
        <v>102</v>
      </c>
      <c r="G154" s="1108"/>
      <c r="H154" s="1109"/>
      <c r="I154" s="1109"/>
      <c r="J154" s="1109"/>
      <c r="K154" s="1109"/>
      <c r="L154" s="1110"/>
      <c r="M154" s="1109"/>
      <c r="N154" s="1111"/>
      <c r="O154" s="1109"/>
      <c r="P154" s="1112"/>
    </row>
    <row r="155" spans="1:16" ht="12" thickBot="1">
      <c r="A155" s="139"/>
      <c r="B155" s="140"/>
      <c r="C155" s="140"/>
      <c r="D155" s="140"/>
      <c r="E155" s="140">
        <v>6</v>
      </c>
      <c r="F155" s="141" t="s">
        <v>962</v>
      </c>
      <c r="G155" s="142"/>
      <c r="H155" s="143"/>
      <c r="I155" s="143"/>
      <c r="J155" s="143"/>
      <c r="K155" s="143"/>
      <c r="L155" s="151"/>
      <c r="M155" s="143"/>
      <c r="N155" s="155">
        <v>0</v>
      </c>
      <c r="O155" s="143">
        <v>0</v>
      </c>
      <c r="P155" s="144">
        <f t="shared" si="27"/>
        <v>0</v>
      </c>
    </row>
    <row r="156" spans="1:16" ht="12" thickTop="1">
      <c r="P156" s="83">
        <f>'Llog_ardhurave 2022-2024'!R89-P148-P155</f>
        <v>0</v>
      </c>
    </row>
    <row r="157" spans="1:16">
      <c r="F157" s="1635" t="s">
        <v>146</v>
      </c>
      <c r="G157" s="172" t="s">
        <v>144</v>
      </c>
      <c r="H157" s="173">
        <f>'Te dhena fillesat 2022'!$D$11</f>
        <v>0</v>
      </c>
      <c r="I157" s="174"/>
      <c r="K157" s="1638" t="s">
        <v>240</v>
      </c>
      <c r="L157" s="172" t="s">
        <v>144</v>
      </c>
      <c r="M157" s="173">
        <f>'Te dhena fillesat 2022'!$D$13</f>
        <v>0</v>
      </c>
      <c r="N157" s="174"/>
    </row>
    <row r="158" spans="1:16">
      <c r="F158" s="1636"/>
      <c r="G158" s="172" t="s">
        <v>239</v>
      </c>
      <c r="H158" s="173"/>
      <c r="I158" s="174"/>
      <c r="K158" s="1638"/>
      <c r="L158" s="172" t="s">
        <v>239</v>
      </c>
      <c r="M158" s="173"/>
      <c r="N158" s="174"/>
    </row>
    <row r="159" spans="1:16">
      <c r="F159" s="1637"/>
      <c r="G159" s="172" t="s">
        <v>145</v>
      </c>
      <c r="H159" s="175"/>
      <c r="I159" s="176"/>
      <c r="K159" s="1638"/>
      <c r="L159" s="172" t="s">
        <v>145</v>
      </c>
      <c r="M159" s="175"/>
      <c r="N159" s="176"/>
    </row>
  </sheetData>
  <protectedRanges>
    <protectedRange sqref="G66:O70 G72:O76 G78:O82 G90:O95 G97:O102 G13:O17 G19:O23 G25:O29 G31:O35 G44:O49 H51:I53 M51:O53 H104:I106 M104:N106 G37:O42 G119:O123 G125:O129 G131:O135 G143:O148 H157:I159 M157:N159 G150:O155 G137:O141 G84:O88" name="Range2"/>
    <protectedRange sqref="D18 D24 D30 D43 D71 D77 D96 D36 D124 D130 D149 D83 D89 D142 D136" name="Range1"/>
  </protectedRanges>
  <mergeCells count="13">
    <mergeCell ref="A2:F2"/>
    <mergeCell ref="H5:K5"/>
    <mergeCell ref="F51:F53"/>
    <mergeCell ref="K51:K53"/>
    <mergeCell ref="A55:F55"/>
    <mergeCell ref="N3:O3"/>
    <mergeCell ref="A108:F108"/>
    <mergeCell ref="H111:K111"/>
    <mergeCell ref="F157:F159"/>
    <mergeCell ref="K157:K159"/>
    <mergeCell ref="F104:F106"/>
    <mergeCell ref="K104:K106"/>
    <mergeCell ref="H58:K58"/>
  </mergeCells>
  <phoneticPr fontId="20" type="noConversion"/>
  <pageMargins left="0.31496062992125984" right="0.15748031496062992" top="0.39370078740157483" bottom="0.39370078740157483" header="0.35433070866141736" footer="0.31496062992125984"/>
  <pageSetup scale="95" orientation="landscape" r:id="rId1"/>
  <headerFooter alignWithMargins="0">
    <oddFooter>&amp;L&amp;"Arial,Italic"&amp;8&amp;F&amp;C&amp;"Arial,Italic"&amp;8&amp;D&amp;RFN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AE33"/>
  <sheetViews>
    <sheetView workbookViewId="0">
      <selection activeCell="F4" sqref="F1:F1048576"/>
    </sheetView>
  </sheetViews>
  <sheetFormatPr defaultRowHeight="12.75"/>
  <cols>
    <col min="1" max="1" width="3.5703125" customWidth="1"/>
    <col min="2" max="2" width="20.140625" customWidth="1"/>
    <col min="3" max="4" width="5.28515625" customWidth="1"/>
    <col min="5" max="5" width="5.85546875" customWidth="1"/>
    <col min="6" max="6" width="3.7109375" customWidth="1"/>
    <col min="7" max="7" width="6.5703125" customWidth="1"/>
    <col min="8" max="8" width="8.42578125" bestFit="1" customWidth="1"/>
    <col min="9" max="9" width="1.42578125" customWidth="1"/>
    <col min="10" max="10" width="6.28515625" bestFit="1" customWidth="1"/>
    <col min="11" max="11" width="2.42578125" customWidth="1"/>
    <col min="12" max="12" width="7.5703125" customWidth="1"/>
    <col min="13" max="13" width="8" customWidth="1"/>
    <col min="14" max="14" width="8.7109375" customWidth="1"/>
    <col min="18" max="18" width="4.28515625" customWidth="1"/>
  </cols>
  <sheetData>
    <row r="1" spans="1:31">
      <c r="A1" s="1506"/>
      <c r="B1" s="1507"/>
      <c r="C1" s="1507"/>
      <c r="D1" s="1506"/>
      <c r="E1" s="1508"/>
      <c r="F1" s="1509"/>
      <c r="G1" s="1510"/>
      <c r="H1" s="1511"/>
      <c r="I1" s="1510"/>
      <c r="J1" s="1512"/>
      <c r="K1" s="1513"/>
      <c r="L1" s="1514"/>
      <c r="M1" s="1513"/>
      <c r="N1" s="1513"/>
    </row>
    <row r="2" spans="1:31" ht="14.25">
      <c r="A2" s="1531" t="s">
        <v>1046</v>
      </c>
      <c r="B2" s="1531"/>
      <c r="C2" s="1531"/>
      <c r="D2" s="1531"/>
      <c r="E2" s="1532"/>
      <c r="F2" s="1533"/>
      <c r="G2" s="1534"/>
      <c r="H2" s="1535"/>
      <c r="I2" s="1536" t="s">
        <v>74</v>
      </c>
      <c r="J2" s="1654" t="s">
        <v>84</v>
      </c>
      <c r="K2" s="1654"/>
      <c r="L2" s="1654"/>
      <c r="M2" s="1655"/>
      <c r="N2" s="1537"/>
      <c r="O2" s="1537"/>
      <c r="P2" s="1537"/>
      <c r="Q2" s="1537"/>
      <c r="R2" s="1537"/>
    </row>
    <row r="3" spans="1:31" ht="13.5" thickBot="1">
      <c r="A3" s="1538" t="s">
        <v>1047</v>
      </c>
      <c r="B3" s="1539"/>
      <c r="C3" s="1539"/>
      <c r="D3" s="1540"/>
      <c r="E3" s="1532"/>
      <c r="F3" s="1533"/>
      <c r="G3" s="1541" t="s">
        <v>217</v>
      </c>
      <c r="H3" s="1542"/>
      <c r="I3" s="1543" t="str">
        <f>CONCATENATE([2]Të_dhëna_fillestare!$C$7)</f>
        <v>1011….</v>
      </c>
      <c r="J3" s="1544"/>
      <c r="K3" s="1545" t="s">
        <v>1066</v>
      </c>
      <c r="L3" s="1546"/>
      <c r="M3" s="1546"/>
      <c r="N3" s="1547"/>
      <c r="O3" s="1537"/>
      <c r="P3" s="1537"/>
      <c r="Q3" s="1537"/>
      <c r="R3" s="1537"/>
    </row>
    <row r="4" spans="1:31" ht="81" customHeight="1">
      <c r="A4" s="1548" t="s">
        <v>1012</v>
      </c>
      <c r="B4" s="1549" t="s">
        <v>1013</v>
      </c>
      <c r="C4" s="1550" t="s">
        <v>1014</v>
      </c>
      <c r="D4" s="1550" t="s">
        <v>1015</v>
      </c>
      <c r="E4" s="1551" t="s">
        <v>1016</v>
      </c>
      <c r="F4" s="1551" t="s">
        <v>1017</v>
      </c>
      <c r="G4" s="1551" t="s">
        <v>1018</v>
      </c>
      <c r="H4" s="1551" t="s">
        <v>1019</v>
      </c>
      <c r="I4" s="1551" t="s">
        <v>1020</v>
      </c>
      <c r="J4" s="1551" t="s">
        <v>1021</v>
      </c>
      <c r="K4" s="1551" t="s">
        <v>1022</v>
      </c>
      <c r="L4" s="1551" t="s">
        <v>1023</v>
      </c>
      <c r="M4" s="1552" t="s">
        <v>1024</v>
      </c>
      <c r="N4" s="1553" t="s">
        <v>1025</v>
      </c>
      <c r="O4" s="1554" t="s">
        <v>1049</v>
      </c>
      <c r="P4" s="1554" t="s">
        <v>1050</v>
      </c>
      <c r="Q4" s="1554" t="s">
        <v>1051</v>
      </c>
      <c r="R4" s="1552" t="s">
        <v>1052</v>
      </c>
      <c r="Z4" s="1657"/>
      <c r="AA4" s="1658"/>
      <c r="AB4" s="1658"/>
      <c r="AC4" s="1658"/>
      <c r="AD4" s="1658"/>
      <c r="AE4" s="1656"/>
    </row>
    <row r="5" spans="1:31" ht="33.75">
      <c r="A5" s="1555" t="s">
        <v>168</v>
      </c>
      <c r="B5" s="1556" t="s">
        <v>170</v>
      </c>
      <c r="C5" s="1557">
        <v>1</v>
      </c>
      <c r="D5" s="1557">
        <v>2</v>
      </c>
      <c r="E5" s="1557">
        <v>3</v>
      </c>
      <c r="F5" s="1652">
        <v>4</v>
      </c>
      <c r="G5" s="1653"/>
      <c r="H5" s="1557">
        <v>5</v>
      </c>
      <c r="I5" s="1558">
        <v>6</v>
      </c>
      <c r="J5" s="1558">
        <v>7</v>
      </c>
      <c r="K5" s="1558">
        <v>8</v>
      </c>
      <c r="L5" s="1558" t="s">
        <v>1026</v>
      </c>
      <c r="M5" s="1559" t="s">
        <v>1027</v>
      </c>
      <c r="N5" s="1560" t="s">
        <v>1028</v>
      </c>
      <c r="O5" s="1561"/>
      <c r="P5" s="1561"/>
      <c r="Q5" s="1561"/>
      <c r="R5" s="1562"/>
      <c r="Z5" s="1657"/>
      <c r="AA5" s="1658"/>
      <c r="AB5" s="1658"/>
      <c r="AC5" s="1658"/>
      <c r="AD5" s="1658"/>
      <c r="AE5" s="1656"/>
    </row>
    <row r="6" spans="1:31">
      <c r="A6" s="1563" t="s">
        <v>182</v>
      </c>
      <c r="B6" s="1564" t="s">
        <v>1029</v>
      </c>
      <c r="C6" s="1565"/>
      <c r="D6" s="1566"/>
      <c r="E6" s="1565"/>
      <c r="F6" s="1565"/>
      <c r="G6" s="1565"/>
      <c r="H6" s="1565"/>
      <c r="I6" s="1565"/>
      <c r="J6" s="1565"/>
      <c r="K6" s="1565"/>
      <c r="L6" s="1565"/>
      <c r="M6" s="1567"/>
      <c r="N6" s="1568"/>
      <c r="O6" s="1569"/>
      <c r="P6" s="1569"/>
      <c r="Q6" s="1569"/>
      <c r="R6" s="1570"/>
      <c r="Z6" s="1657"/>
      <c r="AA6" s="1658"/>
      <c r="AB6" s="1658"/>
      <c r="AC6" s="1658"/>
      <c r="AD6" s="1658"/>
      <c r="AE6" s="1656"/>
    </row>
    <row r="7" spans="1:31" ht="13.5" thickBot="1">
      <c r="A7" s="1571" t="s">
        <v>183</v>
      </c>
      <c r="B7" s="1572"/>
      <c r="C7" s="1573"/>
      <c r="D7" s="1573"/>
      <c r="E7" s="1569"/>
      <c r="F7" s="1569"/>
      <c r="G7" s="1569"/>
      <c r="H7" s="1569"/>
      <c r="I7" s="1569"/>
      <c r="J7" s="1569"/>
      <c r="K7" s="1569"/>
      <c r="L7" s="1569"/>
      <c r="M7" s="1570"/>
      <c r="N7" s="1574"/>
      <c r="O7" s="1569"/>
      <c r="P7" s="1569"/>
      <c r="Q7" s="1569"/>
      <c r="R7" s="1570"/>
      <c r="Z7" s="1516"/>
      <c r="AA7" s="1516"/>
      <c r="AB7" s="1516"/>
      <c r="AC7" s="1516"/>
      <c r="AD7" s="1516"/>
      <c r="AE7" s="1517"/>
    </row>
    <row r="8" spans="1:31" ht="13.5" thickTop="1">
      <c r="A8" s="1571" t="s">
        <v>184</v>
      </c>
      <c r="B8" s="1572"/>
      <c r="C8" s="1573"/>
      <c r="D8" s="1573"/>
      <c r="E8" s="1569"/>
      <c r="F8" s="1569"/>
      <c r="G8" s="1569"/>
      <c r="H8" s="1569"/>
      <c r="I8" s="1569"/>
      <c r="J8" s="1569"/>
      <c r="K8" s="1569"/>
      <c r="L8" s="1569"/>
      <c r="M8" s="1570"/>
      <c r="N8" s="1574"/>
      <c r="O8" s="1569"/>
      <c r="P8" s="1569"/>
      <c r="Q8" s="1569"/>
      <c r="R8" s="1570"/>
      <c r="Z8" s="1518"/>
      <c r="AA8" s="1518"/>
      <c r="AB8" s="1518"/>
      <c r="AC8" s="1518"/>
      <c r="AD8" s="1518"/>
      <c r="AE8" s="1519"/>
    </row>
    <row r="9" spans="1:31">
      <c r="A9" s="1571" t="s">
        <v>185</v>
      </c>
      <c r="B9" s="1572"/>
      <c r="C9" s="1573"/>
      <c r="D9" s="1573"/>
      <c r="E9" s="1569"/>
      <c r="F9" s="1569"/>
      <c r="G9" s="1569"/>
      <c r="H9" s="1569"/>
      <c r="I9" s="1569"/>
      <c r="J9" s="1569"/>
      <c r="K9" s="1569"/>
      <c r="L9" s="1569"/>
      <c r="M9" s="1570"/>
      <c r="N9" s="1574"/>
      <c r="O9" s="1569"/>
      <c r="P9" s="1569"/>
      <c r="Q9" s="1569"/>
      <c r="R9" s="1570"/>
      <c r="Z9" s="1520"/>
      <c r="AA9" s="1520"/>
      <c r="AB9" s="1521"/>
      <c r="AC9" s="1521"/>
      <c r="AD9" s="1521"/>
      <c r="AE9" s="1522"/>
    </row>
    <row r="10" spans="1:31" ht="2.25" customHeight="1">
      <c r="A10" s="1571"/>
      <c r="B10" s="1572"/>
      <c r="C10" s="1573"/>
      <c r="D10" s="1573"/>
      <c r="E10" s="1569"/>
      <c r="F10" s="1569"/>
      <c r="G10" s="1569"/>
      <c r="H10" s="1569"/>
      <c r="I10" s="1569"/>
      <c r="J10" s="1569"/>
      <c r="K10" s="1569"/>
      <c r="L10" s="1569"/>
      <c r="M10" s="1570"/>
      <c r="N10" s="1574"/>
      <c r="O10" s="1569"/>
      <c r="P10" s="1569"/>
      <c r="Q10" s="1569"/>
      <c r="R10" s="1570"/>
      <c r="Z10" s="1523"/>
      <c r="AA10" s="1523"/>
      <c r="AB10" s="1524"/>
      <c r="AC10" s="1524"/>
      <c r="AD10" s="1524"/>
      <c r="AE10" s="1525"/>
    </row>
    <row r="11" spans="1:31" ht="3" customHeight="1">
      <c r="A11" s="1571"/>
      <c r="B11" s="1572"/>
      <c r="C11" s="1573"/>
      <c r="D11" s="1573"/>
      <c r="E11" s="1569"/>
      <c r="F11" s="1569"/>
      <c r="G11" s="1569"/>
      <c r="H11" s="1569"/>
      <c r="I11" s="1569"/>
      <c r="J11" s="1569"/>
      <c r="K11" s="1569"/>
      <c r="L11" s="1569"/>
      <c r="M11" s="1570"/>
      <c r="N11" s="1574"/>
      <c r="O11" s="1569"/>
      <c r="P11" s="1569"/>
      <c r="Q11" s="1569"/>
      <c r="R11" s="1570"/>
      <c r="Z11" s="1526"/>
      <c r="AA11" s="1526"/>
      <c r="AB11" s="1527"/>
      <c r="AC11" s="1527"/>
      <c r="AD11" s="1527"/>
      <c r="AE11" s="1528"/>
    </row>
    <row r="12" spans="1:31" ht="32.25">
      <c r="A12" s="1563" t="s">
        <v>186</v>
      </c>
      <c r="B12" s="1575" t="s">
        <v>1030</v>
      </c>
      <c r="C12" s="1576"/>
      <c r="D12" s="1576"/>
      <c r="E12" s="1565"/>
      <c r="F12" s="1565"/>
      <c r="G12" s="1565"/>
      <c r="H12" s="1565"/>
      <c r="I12" s="1577"/>
      <c r="J12" s="1577"/>
      <c r="K12" s="1577"/>
      <c r="L12" s="1565"/>
      <c r="M12" s="1578"/>
      <c r="N12" s="1579"/>
      <c r="O12" s="1569"/>
      <c r="P12" s="1569"/>
      <c r="Q12" s="1569"/>
      <c r="R12" s="1570"/>
      <c r="Z12" s="1529"/>
      <c r="AA12" s="1529"/>
      <c r="AB12" s="1529"/>
      <c r="AC12" s="1529"/>
      <c r="AD12" s="1529"/>
      <c r="AE12" s="1530"/>
    </row>
    <row r="13" spans="1:31">
      <c r="A13" s="1571" t="s">
        <v>187</v>
      </c>
      <c r="B13" s="1572" t="s">
        <v>152</v>
      </c>
      <c r="C13" s="1556">
        <v>1</v>
      </c>
      <c r="D13" s="1556" t="s">
        <v>153</v>
      </c>
      <c r="E13" s="1569">
        <v>14000</v>
      </c>
      <c r="F13" s="1569">
        <v>17</v>
      </c>
      <c r="G13" s="1569">
        <f>E13*F13*2/100</f>
        <v>4760</v>
      </c>
      <c r="H13" s="1569">
        <v>80800</v>
      </c>
      <c r="I13" s="1580"/>
      <c r="J13" s="1580"/>
      <c r="K13" s="1580"/>
      <c r="L13" s="1569">
        <f>E13+G13+H13</f>
        <v>99560</v>
      </c>
      <c r="M13" s="1581">
        <f>L13*12/1000</f>
        <v>1194.72</v>
      </c>
      <c r="N13" s="1582">
        <f>M13*5/100</f>
        <v>59.736000000000004</v>
      </c>
      <c r="O13" s="1569">
        <f>M13</f>
        <v>1194.72</v>
      </c>
      <c r="P13" s="1569">
        <f>O13*16.7/100</f>
        <v>199.51823999999999</v>
      </c>
      <c r="Q13" s="1569">
        <f>M13+P13</f>
        <v>1394.2382400000001</v>
      </c>
      <c r="R13" s="1570"/>
    </row>
    <row r="14" spans="1:31">
      <c r="A14" s="1571" t="s">
        <v>188</v>
      </c>
      <c r="B14" s="1572" t="s">
        <v>1031</v>
      </c>
      <c r="C14" s="1556">
        <v>1</v>
      </c>
      <c r="D14" s="1556" t="s">
        <v>481</v>
      </c>
      <c r="E14" s="1569">
        <v>14000</v>
      </c>
      <c r="F14" s="1569">
        <v>20</v>
      </c>
      <c r="G14" s="1569">
        <f>E14*F14*2/100</f>
        <v>5600</v>
      </c>
      <c r="H14" s="1569">
        <v>70500</v>
      </c>
      <c r="I14" s="1580"/>
      <c r="J14" s="1580"/>
      <c r="K14" s="1580"/>
      <c r="L14" s="1569">
        <f>E14+G14+H14</f>
        <v>90100</v>
      </c>
      <c r="M14" s="1581">
        <f>L14*12/1000</f>
        <v>1081.2</v>
      </c>
      <c r="N14" s="1582">
        <f>M14*5/100</f>
        <v>54.06</v>
      </c>
      <c r="O14" s="1569">
        <f t="shared" ref="O14:O17" si="0">M14</f>
        <v>1081.2</v>
      </c>
      <c r="P14" s="1569">
        <f t="shared" ref="P14:P17" si="1">O14*16.7/100</f>
        <v>180.56040000000002</v>
      </c>
      <c r="Q14" s="1569">
        <f t="shared" ref="Q14:Q17" si="2">M14+P14</f>
        <v>1261.7604000000001</v>
      </c>
      <c r="R14" s="1570"/>
    </row>
    <row r="15" spans="1:31">
      <c r="A15" s="1571" t="s">
        <v>1032</v>
      </c>
      <c r="B15" s="1572" t="s">
        <v>1033</v>
      </c>
      <c r="C15" s="1556">
        <v>3</v>
      </c>
      <c r="D15" s="1556" t="s">
        <v>155</v>
      </c>
      <c r="E15" s="1569">
        <v>14000</v>
      </c>
      <c r="F15" s="1569">
        <v>25</v>
      </c>
      <c r="G15" s="1569">
        <f>E15*F15*2/100</f>
        <v>7000</v>
      </c>
      <c r="H15" s="1569">
        <v>49000</v>
      </c>
      <c r="I15" s="1580"/>
      <c r="J15" s="1580"/>
      <c r="K15" s="1580"/>
      <c r="L15" s="1569">
        <f>(E15+G15+H15)*3</f>
        <v>210000</v>
      </c>
      <c r="M15" s="1581">
        <f>L15*12/1000</f>
        <v>2520</v>
      </c>
      <c r="N15" s="1582">
        <f>M15*5/100</f>
        <v>126</v>
      </c>
      <c r="O15" s="1569">
        <f t="shared" si="0"/>
        <v>2520</v>
      </c>
      <c r="P15" s="1569">
        <f t="shared" si="1"/>
        <v>420.84</v>
      </c>
      <c r="Q15" s="1569">
        <f t="shared" si="2"/>
        <v>2940.84</v>
      </c>
      <c r="R15" s="1570"/>
    </row>
    <row r="16" spans="1:31">
      <c r="A16" s="1571" t="s">
        <v>1034</v>
      </c>
      <c r="B16" s="1572" t="s">
        <v>482</v>
      </c>
      <c r="C16" s="1583">
        <v>3</v>
      </c>
      <c r="D16" s="1583" t="s">
        <v>483</v>
      </c>
      <c r="E16" s="1569">
        <v>14000</v>
      </c>
      <c r="F16" s="1569">
        <v>25</v>
      </c>
      <c r="G16" s="1569">
        <f>E16*F16*2/100</f>
        <v>7000</v>
      </c>
      <c r="H16" s="1584">
        <v>38000</v>
      </c>
      <c r="I16" s="1585"/>
      <c r="J16" s="1585"/>
      <c r="K16" s="1585"/>
      <c r="L16" s="1569">
        <f>(E16+G16+H16)*3</f>
        <v>177000</v>
      </c>
      <c r="M16" s="1581">
        <f>L16*12/1000</f>
        <v>2124</v>
      </c>
      <c r="N16" s="1582">
        <f>M16*5/100</f>
        <v>106.2</v>
      </c>
      <c r="O16" s="1569">
        <f t="shared" si="0"/>
        <v>2124</v>
      </c>
      <c r="P16" s="1569">
        <f t="shared" si="1"/>
        <v>354.70799999999997</v>
      </c>
      <c r="Q16" s="1569">
        <f t="shared" si="2"/>
        <v>2478.7080000000001</v>
      </c>
      <c r="R16" s="1570"/>
    </row>
    <row r="17" spans="1:18">
      <c r="A17" s="1571" t="s">
        <v>1035</v>
      </c>
      <c r="B17" s="1572" t="s">
        <v>482</v>
      </c>
      <c r="C17" s="1556">
        <v>3</v>
      </c>
      <c r="D17" s="1556" t="s">
        <v>484</v>
      </c>
      <c r="E17" s="1569">
        <v>14000</v>
      </c>
      <c r="F17" s="1569">
        <v>25</v>
      </c>
      <c r="G17" s="1569">
        <f>E17*F17*2/100</f>
        <v>7000</v>
      </c>
      <c r="H17" s="1569">
        <v>29500</v>
      </c>
      <c r="I17" s="1580"/>
      <c r="J17" s="1580"/>
      <c r="K17" s="1580"/>
      <c r="L17" s="1569">
        <f>(E17+G17+H17)*3</f>
        <v>151500</v>
      </c>
      <c r="M17" s="1581">
        <f>L17*12/1000</f>
        <v>1818</v>
      </c>
      <c r="N17" s="1582">
        <f>M17*5/100</f>
        <v>90.9</v>
      </c>
      <c r="O17" s="1569">
        <f t="shared" si="0"/>
        <v>1818</v>
      </c>
      <c r="P17" s="1569">
        <f t="shared" si="1"/>
        <v>303.60599999999999</v>
      </c>
      <c r="Q17" s="1569">
        <f t="shared" si="2"/>
        <v>2121.6059999999998</v>
      </c>
      <c r="R17" s="1570"/>
    </row>
    <row r="18" spans="1:18">
      <c r="A18" s="1571"/>
      <c r="B18" s="1572"/>
      <c r="C18" s="1556"/>
      <c r="D18" s="1556"/>
      <c r="E18" s="1569"/>
      <c r="F18" s="1569"/>
      <c r="G18" s="1569"/>
      <c r="H18" s="1569"/>
      <c r="I18" s="1580"/>
      <c r="J18" s="1580"/>
      <c r="K18" s="1580"/>
      <c r="L18" s="1569"/>
      <c r="M18" s="1581"/>
      <c r="N18" s="1582"/>
      <c r="O18" s="1569"/>
      <c r="P18" s="1569"/>
      <c r="Q18" s="1569"/>
      <c r="R18" s="1570"/>
    </row>
    <row r="19" spans="1:18">
      <c r="A19" s="1571"/>
      <c r="B19" s="1572"/>
      <c r="C19" s="1556"/>
      <c r="D19" s="1556"/>
      <c r="E19" s="1569"/>
      <c r="F19" s="1586"/>
      <c r="G19" s="1569"/>
      <c r="H19" s="1569"/>
      <c r="I19" s="1580"/>
      <c r="J19" s="1580"/>
      <c r="K19" s="1580"/>
      <c r="L19" s="1569"/>
      <c r="M19" s="1581"/>
      <c r="N19" s="1582"/>
      <c r="O19" s="1569"/>
      <c r="P19" s="1569"/>
      <c r="Q19" s="1569"/>
      <c r="R19" s="1570"/>
    </row>
    <row r="20" spans="1:18">
      <c r="A20" s="1571"/>
      <c r="B20" s="1572"/>
      <c r="C20" s="1556"/>
      <c r="D20" s="1556"/>
      <c r="E20" s="1569"/>
      <c r="F20" s="1569"/>
      <c r="G20" s="1569"/>
      <c r="H20" s="1569"/>
      <c r="I20" s="1580"/>
      <c r="J20" s="1580"/>
      <c r="K20" s="1580"/>
      <c r="L20" s="1569"/>
      <c r="M20" s="1581"/>
      <c r="N20" s="1582"/>
      <c r="O20" s="1569"/>
      <c r="P20" s="1569"/>
      <c r="Q20" s="1569"/>
      <c r="R20" s="1570"/>
    </row>
    <row r="21" spans="1:18">
      <c r="A21" s="1563" t="s">
        <v>189</v>
      </c>
      <c r="B21" s="1564" t="s">
        <v>1036</v>
      </c>
      <c r="C21" s="1587"/>
      <c r="D21" s="1587"/>
      <c r="E21" s="1565"/>
      <c r="F21" s="1565"/>
      <c r="G21" s="1588"/>
      <c r="H21" s="1588"/>
      <c r="I21" s="1589"/>
      <c r="J21" s="1589"/>
      <c r="K21" s="1589"/>
      <c r="L21" s="1588"/>
      <c r="M21" s="1578"/>
      <c r="N21" s="1590"/>
      <c r="O21" s="1569"/>
      <c r="P21" s="1569"/>
      <c r="Q21" s="1569"/>
      <c r="R21" s="1570"/>
    </row>
    <row r="22" spans="1:18">
      <c r="A22" s="1571" t="s">
        <v>190</v>
      </c>
      <c r="B22" s="1572" t="s">
        <v>1037</v>
      </c>
      <c r="C22" s="1583">
        <v>1</v>
      </c>
      <c r="D22" s="1583" t="s">
        <v>599</v>
      </c>
      <c r="E22" s="1569">
        <v>35400</v>
      </c>
      <c r="F22" s="1569">
        <v>25</v>
      </c>
      <c r="G22" s="1584">
        <f>E22*F22/100</f>
        <v>8850</v>
      </c>
      <c r="H22" s="1584"/>
      <c r="I22" s="1585"/>
      <c r="J22" s="1585">
        <v>6900</v>
      </c>
      <c r="K22" s="1585"/>
      <c r="L22" s="1584">
        <f>(E22+G22+J22)</f>
        <v>51150</v>
      </c>
      <c r="M22" s="1581">
        <f>L22*12/1000</f>
        <v>613.79999999999995</v>
      </c>
      <c r="N22" s="1582">
        <f>M22*5/100</f>
        <v>30.69</v>
      </c>
      <c r="O22" s="1569">
        <f t="shared" ref="O22:O25" si="3">M22</f>
        <v>613.79999999999995</v>
      </c>
      <c r="P22" s="1569">
        <f t="shared" ref="P22:P25" si="4">O22*16.7/100</f>
        <v>102.5046</v>
      </c>
      <c r="Q22" s="1569">
        <f t="shared" ref="Q22:Q25" si="5">M22+P22</f>
        <v>716.30459999999994</v>
      </c>
      <c r="R22" s="1570"/>
    </row>
    <row r="23" spans="1:18">
      <c r="A23" s="1571" t="s">
        <v>191</v>
      </c>
      <c r="B23" s="1572" t="s">
        <v>816</v>
      </c>
      <c r="C23" s="1556">
        <v>1</v>
      </c>
      <c r="D23" s="1556" t="s">
        <v>491</v>
      </c>
      <c r="E23" s="1569">
        <v>34500</v>
      </c>
      <c r="F23" s="1569">
        <v>25</v>
      </c>
      <c r="G23" s="1584">
        <f>E23*F23/100</f>
        <v>8625</v>
      </c>
      <c r="H23" s="1569"/>
      <c r="I23" s="1580"/>
      <c r="J23" s="1580">
        <v>6900</v>
      </c>
      <c r="K23" s="1580"/>
      <c r="L23" s="1584">
        <f>E23+G23+J23</f>
        <v>50025</v>
      </c>
      <c r="M23" s="1581">
        <f>L23*12/1000</f>
        <v>600.29999999999995</v>
      </c>
      <c r="N23" s="1582">
        <f>M23*5/100</f>
        <v>30.015000000000001</v>
      </c>
      <c r="O23" s="1569">
        <f t="shared" si="3"/>
        <v>600.29999999999995</v>
      </c>
      <c r="P23" s="1569">
        <f t="shared" si="4"/>
        <v>100.25009999999999</v>
      </c>
      <c r="Q23" s="1569">
        <f t="shared" si="5"/>
        <v>700.55009999999993</v>
      </c>
      <c r="R23" s="1570"/>
    </row>
    <row r="24" spans="1:18">
      <c r="A24" s="1571" t="s">
        <v>1038</v>
      </c>
      <c r="B24" s="1572" t="s">
        <v>1039</v>
      </c>
      <c r="C24" s="1556">
        <v>1</v>
      </c>
      <c r="D24" s="1556" t="s">
        <v>491</v>
      </c>
      <c r="E24" s="1569">
        <v>34500</v>
      </c>
      <c r="F24" s="1569">
        <v>25</v>
      </c>
      <c r="G24" s="1584">
        <f>E24*F24/100</f>
        <v>8625</v>
      </c>
      <c r="H24" s="1569"/>
      <c r="I24" s="1580"/>
      <c r="J24" s="1580">
        <v>6900</v>
      </c>
      <c r="K24" s="1580"/>
      <c r="L24" s="1584">
        <f>E24+G24+J24</f>
        <v>50025</v>
      </c>
      <c r="M24" s="1581">
        <f>L24*12/1000</f>
        <v>600.29999999999995</v>
      </c>
      <c r="N24" s="1582">
        <f>M24*5/100</f>
        <v>30.015000000000001</v>
      </c>
      <c r="O24" s="1569">
        <f t="shared" si="3"/>
        <v>600.29999999999995</v>
      </c>
      <c r="P24" s="1569">
        <f t="shared" si="4"/>
        <v>100.25009999999999</v>
      </c>
      <c r="Q24" s="1569">
        <f t="shared" si="5"/>
        <v>700.55009999999993</v>
      </c>
      <c r="R24" s="1570"/>
    </row>
    <row r="25" spans="1:18">
      <c r="A25" s="1571" t="s">
        <v>1040</v>
      </c>
      <c r="B25" s="1572" t="s">
        <v>1041</v>
      </c>
      <c r="C25" s="1583">
        <v>1</v>
      </c>
      <c r="D25" s="1583" t="s">
        <v>599</v>
      </c>
      <c r="E25" s="1569">
        <v>35400</v>
      </c>
      <c r="F25" s="1569">
        <v>25</v>
      </c>
      <c r="G25" s="1584">
        <f>E25*F25/100</f>
        <v>8850</v>
      </c>
      <c r="H25" s="1584"/>
      <c r="I25" s="1585"/>
      <c r="J25" s="1585">
        <v>6900</v>
      </c>
      <c r="K25" s="1585"/>
      <c r="L25" s="1584">
        <f>(E25+G25+J25)</f>
        <v>51150</v>
      </c>
      <c r="M25" s="1581">
        <f>L25*12/1000</f>
        <v>613.79999999999995</v>
      </c>
      <c r="N25" s="1582">
        <f>M25*5/100</f>
        <v>30.69</v>
      </c>
      <c r="O25" s="1569">
        <f t="shared" si="3"/>
        <v>613.79999999999995</v>
      </c>
      <c r="P25" s="1569">
        <f t="shared" si="4"/>
        <v>102.5046</v>
      </c>
      <c r="Q25" s="1569">
        <f t="shared" si="5"/>
        <v>716.30459999999994</v>
      </c>
      <c r="R25" s="1570"/>
    </row>
    <row r="26" spans="1:18" ht="14.25" thickBot="1">
      <c r="A26" s="1591"/>
      <c r="B26" s="1592" t="s">
        <v>1042</v>
      </c>
      <c r="C26" s="1592"/>
      <c r="D26" s="1593"/>
      <c r="E26" s="1594"/>
      <c r="F26" s="1594"/>
      <c r="G26" s="1595">
        <f>SUM(G13:G25)</f>
        <v>66310</v>
      </c>
      <c r="H26" s="1595">
        <f>SUM(H13:H25)</f>
        <v>267800</v>
      </c>
      <c r="I26" s="1596">
        <f>SUM(I13:I25)</f>
        <v>0</v>
      </c>
      <c r="J26" s="1596">
        <f>SUM(J22:J25)</f>
        <v>27600</v>
      </c>
      <c r="K26" s="1596"/>
      <c r="L26" s="1595">
        <f>SUM(L13:L25)</f>
        <v>930510</v>
      </c>
      <c r="M26" s="1597">
        <f>SUM(M13:M25)</f>
        <v>11166.119999999997</v>
      </c>
      <c r="N26" s="1598">
        <f>SUM(N13:N25)</f>
        <v>558.30600000000004</v>
      </c>
      <c r="O26" s="1598">
        <f t="shared" ref="O26:Q26" si="6">SUM(O13:O25)</f>
        <v>11166.119999999997</v>
      </c>
      <c r="P26" s="1598">
        <f t="shared" si="6"/>
        <v>1864.7420399999999</v>
      </c>
      <c r="Q26" s="1598">
        <f t="shared" si="6"/>
        <v>13030.86204</v>
      </c>
      <c r="R26" s="1599"/>
    </row>
    <row r="27" spans="1:18">
      <c r="A27" s="1600"/>
      <c r="B27" s="1309"/>
      <c r="C27" s="1309"/>
      <c r="D27" s="1309"/>
      <c r="E27" s="1309"/>
      <c r="F27" s="1309"/>
      <c r="G27" s="1309"/>
      <c r="H27" s="1309"/>
      <c r="I27" s="1309"/>
      <c r="J27" s="1309"/>
      <c r="K27" s="1309"/>
      <c r="L27" s="1309"/>
      <c r="M27" s="1326"/>
      <c r="N27" s="1326"/>
      <c r="O27" s="1537"/>
      <c r="P27" s="1537"/>
      <c r="Q27" s="1537"/>
      <c r="R27" s="1537"/>
    </row>
    <row r="28" spans="1:18">
      <c r="A28" s="1309" t="s">
        <v>1043</v>
      </c>
      <c r="B28" s="1326"/>
      <c r="C28" s="1326"/>
      <c r="D28" s="1326"/>
      <c r="E28" s="1537"/>
      <c r="F28" s="1537"/>
      <c r="G28" s="1537"/>
      <c r="H28" s="1537"/>
      <c r="I28" s="1537"/>
      <c r="J28" s="1537"/>
      <c r="K28" s="1537"/>
      <c r="L28" s="1537"/>
      <c r="M28" s="1537"/>
      <c r="N28" s="1537"/>
      <c r="O28" s="1537"/>
      <c r="P28" s="1537"/>
      <c r="Q28" s="1537"/>
      <c r="R28" s="1537"/>
    </row>
    <row r="29" spans="1:18">
      <c r="B29" s="71"/>
      <c r="N29" s="197"/>
    </row>
    <row r="30" spans="1:18">
      <c r="B30" s="70"/>
      <c r="M30" s="70"/>
      <c r="N30" s="197"/>
    </row>
    <row r="31" spans="1:18">
      <c r="B31" s="1635" t="s">
        <v>146</v>
      </c>
      <c r="C31" s="172" t="s">
        <v>144</v>
      </c>
      <c r="D31" s="172" t="s">
        <v>1044</v>
      </c>
      <c r="E31" s="197"/>
      <c r="F31" s="83"/>
      <c r="G31" s="1638" t="s">
        <v>240</v>
      </c>
      <c r="H31" s="172" t="s">
        <v>144</v>
      </c>
      <c r="I31" s="173" t="s">
        <v>1045</v>
      </c>
      <c r="J31" s="174"/>
      <c r="K31" s="197"/>
      <c r="L31" s="26"/>
      <c r="M31" s="71"/>
      <c r="N31" s="71"/>
    </row>
    <row r="32" spans="1:18">
      <c r="B32" s="1636"/>
      <c r="C32" s="172" t="s">
        <v>239</v>
      </c>
      <c r="D32" s="172"/>
      <c r="E32" s="197"/>
      <c r="F32" s="83"/>
      <c r="G32" s="1638"/>
      <c r="H32" s="172" t="s">
        <v>239</v>
      </c>
      <c r="I32" s="173"/>
      <c r="J32" s="174"/>
      <c r="K32" s="197"/>
      <c r="L32" s="71"/>
      <c r="M32" s="71"/>
      <c r="N32" s="71"/>
    </row>
    <row r="33" spans="2:14">
      <c r="B33" s="1637"/>
      <c r="C33" s="172" t="s">
        <v>145</v>
      </c>
      <c r="D33" s="245"/>
      <c r="E33" s="197"/>
      <c r="F33" s="83"/>
      <c r="G33" s="1638"/>
      <c r="H33" s="172" t="s">
        <v>145</v>
      </c>
      <c r="I33" s="175"/>
      <c r="J33" s="176"/>
      <c r="K33" s="197"/>
      <c r="L33" s="71"/>
      <c r="M33" s="71"/>
      <c r="N33" s="71"/>
    </row>
  </sheetData>
  <mergeCells count="10">
    <mergeCell ref="F5:G5"/>
    <mergeCell ref="B31:B33"/>
    <mergeCell ref="G31:G33"/>
    <mergeCell ref="J2:M2"/>
    <mergeCell ref="AE4:AE6"/>
    <mergeCell ref="Z4:Z6"/>
    <mergeCell ref="AA4:AA6"/>
    <mergeCell ref="AB4:AB6"/>
    <mergeCell ref="AC4:AC6"/>
    <mergeCell ref="AD4:AD6"/>
  </mergeCells>
  <pageMargins left="0.7" right="0.7" top="0.75" bottom="0.75" header="0.3" footer="0.3"/>
  <pageSetup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S827"/>
  <sheetViews>
    <sheetView topLeftCell="A277" workbookViewId="0">
      <selection activeCell="L76" sqref="L76"/>
    </sheetView>
  </sheetViews>
  <sheetFormatPr defaultColWidth="12.85546875" defaultRowHeight="11.25" outlineLevelCol="1"/>
  <cols>
    <col min="1" max="1" width="3.85546875" style="323" customWidth="1"/>
    <col min="2" max="2" width="3.140625" style="662" customWidth="1"/>
    <col min="3" max="3" width="41.5703125" style="386" customWidth="1"/>
    <col min="4" max="4" width="9.7109375" style="358" customWidth="1"/>
    <col min="5" max="7" width="7" style="387" customWidth="1"/>
    <col min="8" max="8" width="7" style="388" customWidth="1"/>
    <col min="9" max="9" width="7" style="389" customWidth="1"/>
    <col min="10" max="10" width="12.28515625" style="390" customWidth="1"/>
    <col min="11" max="11" width="8.28515625" style="391" customWidth="1" outlineLevel="1"/>
    <col min="12" max="12" width="7.7109375" style="391" customWidth="1" outlineLevel="1"/>
    <col min="13" max="13" width="7" style="392" customWidth="1" outlineLevel="1"/>
    <col min="14" max="14" width="7" style="358" customWidth="1" outlineLevel="1"/>
    <col min="15" max="15" width="21.5703125" style="665" customWidth="1" outlineLevel="1"/>
    <col min="16" max="16" width="4.42578125" style="699" customWidth="1" outlineLevel="1"/>
    <col min="17" max="17" width="21.140625" style="338" customWidth="1"/>
    <col min="18" max="16384" width="12.85546875" style="1053"/>
  </cols>
  <sheetData>
    <row r="1" spans="1:18" s="1054" customFormat="1">
      <c r="A1" s="323">
        <v>1</v>
      </c>
      <c r="B1" s="324" t="s">
        <v>502</v>
      </c>
      <c r="C1" s="324" t="s">
        <v>503</v>
      </c>
      <c r="D1" s="325" t="s">
        <v>504</v>
      </c>
      <c r="E1" s="325" t="s">
        <v>505</v>
      </c>
      <c r="F1" s="325"/>
      <c r="G1" s="325"/>
      <c r="H1" s="326" t="s">
        <v>506</v>
      </c>
      <c r="I1" s="327" t="s">
        <v>507</v>
      </c>
      <c r="J1" s="325" t="s">
        <v>508</v>
      </c>
      <c r="K1" s="328" t="s">
        <v>182</v>
      </c>
      <c r="L1" s="328"/>
      <c r="M1" s="327" t="s">
        <v>509</v>
      </c>
      <c r="N1" s="325" t="s">
        <v>510</v>
      </c>
      <c r="O1" s="324"/>
      <c r="P1" s="324"/>
      <c r="Q1" s="329"/>
      <c r="R1" s="1055"/>
    </row>
    <row r="2" spans="1:18">
      <c r="A2" s="323">
        <v>2</v>
      </c>
      <c r="B2" s="331"/>
      <c r="C2" s="332"/>
      <c r="D2" s="333"/>
      <c r="E2" s="325"/>
      <c r="F2" s="325"/>
      <c r="G2" s="325"/>
      <c r="H2" s="326"/>
      <c r="I2" s="334"/>
      <c r="J2" s="335"/>
      <c r="K2" s="336"/>
      <c r="L2" s="336"/>
      <c r="M2" s="337"/>
      <c r="N2" s="333"/>
      <c r="O2" s="331"/>
      <c r="P2" s="324"/>
      <c r="Q2" s="329"/>
    </row>
    <row r="3" spans="1:18">
      <c r="A3" s="323">
        <v>3</v>
      </c>
      <c r="B3" s="324"/>
      <c r="C3" s="324"/>
      <c r="D3" s="325"/>
      <c r="E3" s="325"/>
      <c r="F3" s="325"/>
      <c r="G3" s="325"/>
      <c r="H3" s="326"/>
      <c r="I3" s="327"/>
      <c r="J3" s="325"/>
      <c r="K3" s="328"/>
      <c r="L3" s="328"/>
      <c r="M3" s="327"/>
      <c r="N3" s="325"/>
      <c r="O3" s="324"/>
      <c r="P3" s="324"/>
      <c r="Q3" s="329"/>
      <c r="R3" s="1055"/>
    </row>
    <row r="4" spans="1:18" ht="11.25" customHeight="1" thickBot="1">
      <c r="A4" s="323">
        <v>4</v>
      </c>
      <c r="B4" s="339"/>
      <c r="C4" s="339"/>
      <c r="D4" s="340"/>
      <c r="E4" s="340"/>
      <c r="F4" s="340"/>
      <c r="G4" s="340"/>
      <c r="H4" s="341"/>
      <c r="I4" s="342"/>
      <c r="J4" s="340"/>
      <c r="K4" s="343"/>
      <c r="L4" s="343"/>
      <c r="M4" s="344"/>
      <c r="N4" s="345"/>
      <c r="O4" s="346"/>
      <c r="P4" s="324"/>
      <c r="Q4" s="329"/>
    </row>
    <row r="5" spans="1:18" ht="44.25" customHeight="1">
      <c r="A5" s="323">
        <v>5</v>
      </c>
      <c r="B5" s="339"/>
      <c r="C5" s="1659" t="s">
        <v>511</v>
      </c>
      <c r="D5" s="1660"/>
      <c r="E5" s="340"/>
      <c r="F5" s="340"/>
      <c r="G5" s="340"/>
      <c r="H5" s="341"/>
      <c r="I5" s="342"/>
      <c r="J5" s="1661" t="s">
        <v>512</v>
      </c>
      <c r="K5" s="1662"/>
      <c r="L5" s="1662"/>
      <c r="M5" s="1662"/>
      <c r="N5" s="1662"/>
      <c r="O5" s="347"/>
      <c r="P5" s="324"/>
      <c r="Q5" s="329"/>
    </row>
    <row r="6" spans="1:18" ht="56.25">
      <c r="A6" s="323">
        <v>6</v>
      </c>
      <c r="B6" s="339"/>
      <c r="C6" s="348"/>
      <c r="D6" s="349" t="s">
        <v>513</v>
      </c>
      <c r="E6" s="340"/>
      <c r="F6" s="340"/>
      <c r="G6" s="340"/>
      <c r="H6" s="341"/>
      <c r="I6" s="350"/>
      <c r="J6" s="351"/>
      <c r="K6" s="352" t="s">
        <v>513</v>
      </c>
      <c r="L6" s="352" t="s">
        <v>514</v>
      </c>
      <c r="M6" s="352" t="s">
        <v>515</v>
      </c>
      <c r="N6" s="352" t="s">
        <v>516</v>
      </c>
      <c r="O6" s="353" t="s">
        <v>517</v>
      </c>
      <c r="P6" s="324"/>
      <c r="Q6" s="329"/>
    </row>
    <row r="7" spans="1:18" ht="22.5">
      <c r="A7" s="323">
        <v>7</v>
      </c>
      <c r="B7" s="338"/>
      <c r="C7" s="355" t="s">
        <v>518</v>
      </c>
      <c r="D7" s="356">
        <f>12*D8</f>
        <v>1164360</v>
      </c>
      <c r="E7" s="340"/>
      <c r="F7" s="340"/>
      <c r="G7" s="340"/>
      <c r="H7" s="341"/>
      <c r="I7" s="357"/>
      <c r="J7" s="1663" t="s">
        <v>519</v>
      </c>
      <c r="K7" s="1664"/>
      <c r="L7" s="1664"/>
      <c r="M7" s="1664"/>
      <c r="N7" s="1664"/>
      <c r="O7" s="359"/>
      <c r="P7" s="324"/>
      <c r="Q7" s="329"/>
    </row>
    <row r="8" spans="1:18" ht="22.5">
      <c r="A8" s="323">
        <v>8</v>
      </c>
      <c r="B8" s="338"/>
      <c r="C8" s="355" t="s">
        <v>520</v>
      </c>
      <c r="D8" s="360">
        <v>97030</v>
      </c>
      <c r="E8" s="360">
        <v>24000</v>
      </c>
      <c r="F8" s="340"/>
      <c r="G8" s="340"/>
      <c r="H8" s="341"/>
      <c r="I8" s="357"/>
      <c r="J8" s="361" t="s">
        <v>521</v>
      </c>
      <c r="K8" s="362">
        <v>14000</v>
      </c>
      <c r="L8" s="363"/>
      <c r="M8" s="362">
        <v>14000</v>
      </c>
      <c r="N8" s="1149">
        <f t="shared" ref="N8:N12" si="0">IF(K8=0,0,M8-K8)</f>
        <v>0</v>
      </c>
      <c r="O8" s="465">
        <f t="shared" ref="O8:O12" si="1">IF(K8+N8=K8,0,K8+N8)</f>
        <v>0</v>
      </c>
      <c r="P8" s="324"/>
      <c r="Q8" s="329"/>
    </row>
    <row r="9" spans="1:18" ht="33.75">
      <c r="A9" s="323">
        <v>9</v>
      </c>
      <c r="B9" s="338"/>
      <c r="C9" s="355" t="s">
        <v>522</v>
      </c>
      <c r="D9" s="366">
        <v>0.16700000000000001</v>
      </c>
      <c r="E9" s="340"/>
      <c r="F9" s="340"/>
      <c r="G9" s="340"/>
      <c r="H9" s="341"/>
      <c r="I9" s="357"/>
      <c r="J9" s="361" t="s">
        <v>523</v>
      </c>
      <c r="K9" s="362">
        <v>11000</v>
      </c>
      <c r="L9" s="363"/>
      <c r="M9" s="362">
        <v>11000</v>
      </c>
      <c r="N9" s="1149">
        <f t="shared" si="0"/>
        <v>0</v>
      </c>
      <c r="O9" s="465">
        <f t="shared" si="1"/>
        <v>0</v>
      </c>
      <c r="P9" s="324"/>
      <c r="Q9" s="329"/>
    </row>
    <row r="10" spans="1:18" ht="34.5" thickBot="1">
      <c r="A10" s="323">
        <v>10</v>
      </c>
      <c r="B10" s="338"/>
      <c r="C10" s="367" t="s">
        <v>501</v>
      </c>
      <c r="D10" s="368">
        <v>0.05</v>
      </c>
      <c r="E10" s="340"/>
      <c r="F10" s="340"/>
      <c r="G10" s="340"/>
      <c r="H10" s="341"/>
      <c r="I10" s="357"/>
      <c r="J10" s="361" t="s">
        <v>524</v>
      </c>
      <c r="K10" s="362">
        <v>10000</v>
      </c>
      <c r="L10" s="363"/>
      <c r="M10" s="362">
        <v>10000</v>
      </c>
      <c r="N10" s="1149">
        <f t="shared" si="0"/>
        <v>0</v>
      </c>
      <c r="O10" s="465">
        <f t="shared" si="1"/>
        <v>0</v>
      </c>
      <c r="P10" s="324"/>
      <c r="Q10" s="329"/>
    </row>
    <row r="11" spans="1:18" ht="34.5" thickBot="1">
      <c r="A11" s="323">
        <v>11</v>
      </c>
      <c r="B11" s="338"/>
      <c r="C11" s="367" t="s">
        <v>278</v>
      </c>
      <c r="D11" s="368">
        <v>12</v>
      </c>
      <c r="E11" s="340"/>
      <c r="F11" s="340"/>
      <c r="G11" s="340"/>
      <c r="H11" s="341"/>
      <c r="I11" s="350"/>
      <c r="J11" s="361" t="s">
        <v>525</v>
      </c>
      <c r="K11" s="362">
        <v>8000</v>
      </c>
      <c r="L11" s="363"/>
      <c r="M11" s="362">
        <v>8000</v>
      </c>
      <c r="N11" s="1149">
        <f t="shared" si="0"/>
        <v>0</v>
      </c>
      <c r="O11" s="465">
        <f t="shared" si="1"/>
        <v>0</v>
      </c>
      <c r="P11" s="324"/>
      <c r="Q11" s="329"/>
    </row>
    <row r="12" spans="1:18" ht="24.75" customHeight="1">
      <c r="A12" s="323">
        <v>12</v>
      </c>
      <c r="B12" s="338"/>
      <c r="C12" s="338"/>
      <c r="D12" s="369"/>
      <c r="E12" s="340"/>
      <c r="F12" s="340"/>
      <c r="G12" s="340"/>
      <c r="H12" s="341"/>
      <c r="I12" s="350"/>
      <c r="J12" s="361"/>
      <c r="K12" s="370"/>
      <c r="L12" s="370"/>
      <c r="M12" s="364"/>
      <c r="N12" s="1149">
        <f t="shared" si="0"/>
        <v>0</v>
      </c>
      <c r="O12" s="465">
        <f t="shared" si="1"/>
        <v>0</v>
      </c>
      <c r="P12" s="324"/>
      <c r="Q12" s="329"/>
    </row>
    <row r="13" spans="1:18" ht="23.25" customHeight="1">
      <c r="A13" s="323">
        <v>13</v>
      </c>
      <c r="B13" s="338"/>
      <c r="C13" s="1665" t="s">
        <v>526</v>
      </c>
      <c r="D13" s="1666"/>
      <c r="E13" s="1666"/>
      <c r="F13" s="372"/>
      <c r="G13" s="372"/>
      <c r="H13" s="373"/>
      <c r="I13" s="350"/>
      <c r="J13" s="1663" t="s">
        <v>527</v>
      </c>
      <c r="K13" s="1664"/>
      <c r="L13" s="1664"/>
      <c r="M13" s="1664"/>
      <c r="N13" s="1664"/>
      <c r="O13" s="365"/>
      <c r="P13" s="324"/>
      <c r="Q13" s="329"/>
    </row>
    <row r="14" spans="1:18" ht="11.25" customHeight="1">
      <c r="A14" s="323">
        <v>14</v>
      </c>
      <c r="B14" s="338"/>
      <c r="C14" s="1666"/>
      <c r="D14" s="1666"/>
      <c r="E14" s="1666"/>
      <c r="F14" s="372"/>
      <c r="G14" s="372"/>
      <c r="H14" s="373"/>
      <c r="I14" s="350"/>
      <c r="J14" s="374" t="s">
        <v>528</v>
      </c>
      <c r="K14" s="375">
        <v>129000</v>
      </c>
      <c r="L14" s="363"/>
      <c r="M14" s="364">
        <v>129000</v>
      </c>
      <c r="N14" s="1149">
        <f t="shared" ref="N14:N23" si="2">IF(K14=0,0,M14-K14)</f>
        <v>0</v>
      </c>
      <c r="O14" s="465">
        <f t="shared" ref="O14:O23" si="3">IF(K14+N14=K14,0,K14+N14)</f>
        <v>0</v>
      </c>
      <c r="P14" s="324"/>
      <c r="Q14" s="329"/>
    </row>
    <row r="15" spans="1:18" ht="11.25" customHeight="1">
      <c r="A15" s="323">
        <v>15</v>
      </c>
      <c r="B15" s="338"/>
      <c r="C15" s="1666"/>
      <c r="D15" s="1666"/>
      <c r="E15" s="1666"/>
      <c r="F15" s="372"/>
      <c r="G15" s="372"/>
      <c r="H15" s="373"/>
      <c r="I15" s="350"/>
      <c r="J15" s="374" t="s">
        <v>480</v>
      </c>
      <c r="K15" s="375">
        <v>118000</v>
      </c>
      <c r="L15" s="363"/>
      <c r="M15" s="364">
        <v>118000</v>
      </c>
      <c r="N15" s="1149">
        <f t="shared" si="2"/>
        <v>0</v>
      </c>
      <c r="O15" s="465">
        <f t="shared" si="3"/>
        <v>0</v>
      </c>
      <c r="P15" s="324"/>
      <c r="Q15" s="329"/>
    </row>
    <row r="16" spans="1:18" ht="11.25" customHeight="1">
      <c r="A16" s="323">
        <v>16</v>
      </c>
      <c r="B16" s="338"/>
      <c r="C16" s="1666"/>
      <c r="D16" s="1666"/>
      <c r="E16" s="1666"/>
      <c r="F16" s="372"/>
      <c r="G16" s="372"/>
      <c r="H16" s="373"/>
      <c r="I16" s="350"/>
      <c r="J16" s="374" t="s">
        <v>150</v>
      </c>
      <c r="K16" s="375">
        <v>107800</v>
      </c>
      <c r="L16" s="363"/>
      <c r="M16" s="364">
        <v>107800</v>
      </c>
      <c r="N16" s="1149">
        <f t="shared" si="2"/>
        <v>0</v>
      </c>
      <c r="O16" s="465">
        <f t="shared" si="3"/>
        <v>0</v>
      </c>
      <c r="P16" s="324"/>
      <c r="Q16" s="329"/>
    </row>
    <row r="17" spans="1:17" ht="11.25" customHeight="1">
      <c r="A17" s="323">
        <v>17</v>
      </c>
      <c r="B17" s="338"/>
      <c r="C17" s="1666"/>
      <c r="D17" s="1666"/>
      <c r="E17" s="1666"/>
      <c r="F17" s="372"/>
      <c r="G17" s="372"/>
      <c r="H17" s="373"/>
      <c r="I17" s="350"/>
      <c r="J17" s="374" t="s">
        <v>151</v>
      </c>
      <c r="K17" s="375">
        <v>91700</v>
      </c>
      <c r="L17" s="363"/>
      <c r="M17" s="364">
        <v>91700</v>
      </c>
      <c r="N17" s="1149">
        <f t="shared" si="2"/>
        <v>0</v>
      </c>
      <c r="O17" s="465">
        <f t="shared" si="3"/>
        <v>0</v>
      </c>
      <c r="P17" s="324"/>
      <c r="Q17" s="329"/>
    </row>
    <row r="18" spans="1:17" ht="11.25" customHeight="1">
      <c r="A18" s="323">
        <v>18</v>
      </c>
      <c r="B18" s="338"/>
      <c r="C18" s="1666"/>
      <c r="D18" s="1666"/>
      <c r="E18" s="1666"/>
      <c r="F18" s="372"/>
      <c r="G18" s="372"/>
      <c r="H18" s="373"/>
      <c r="I18" s="350"/>
      <c r="J18" s="374" t="s">
        <v>529</v>
      </c>
      <c r="K18" s="375">
        <v>74400</v>
      </c>
      <c r="L18" s="363"/>
      <c r="M18" s="364">
        <v>74400</v>
      </c>
      <c r="N18" s="1149">
        <f t="shared" si="2"/>
        <v>0</v>
      </c>
      <c r="O18" s="465">
        <f t="shared" si="3"/>
        <v>0</v>
      </c>
      <c r="P18" s="324"/>
      <c r="Q18" s="329"/>
    </row>
    <row r="19" spans="1:17" ht="11.25" customHeight="1">
      <c r="A19" s="323">
        <v>19</v>
      </c>
      <c r="B19" s="338"/>
      <c r="C19" s="1666"/>
      <c r="D19" s="1666"/>
      <c r="E19" s="1666"/>
      <c r="F19" s="372"/>
      <c r="G19" s="372"/>
      <c r="H19" s="373"/>
      <c r="I19" s="350"/>
      <c r="J19" s="374" t="s">
        <v>481</v>
      </c>
      <c r="K19" s="375">
        <v>65200</v>
      </c>
      <c r="L19" s="363"/>
      <c r="M19" s="364">
        <v>65200</v>
      </c>
      <c r="N19" s="1149">
        <f t="shared" si="2"/>
        <v>0</v>
      </c>
      <c r="O19" s="465">
        <f t="shared" si="3"/>
        <v>0</v>
      </c>
      <c r="P19" s="324"/>
      <c r="Q19" s="329"/>
    </row>
    <row r="20" spans="1:17" ht="11.25" customHeight="1">
      <c r="A20" s="323">
        <v>20</v>
      </c>
      <c r="B20" s="338"/>
      <c r="C20" s="1666"/>
      <c r="D20" s="1666"/>
      <c r="E20" s="1666"/>
      <c r="F20" s="372"/>
      <c r="G20" s="372"/>
      <c r="H20" s="373"/>
      <c r="I20" s="350"/>
      <c r="J20" s="374" t="s">
        <v>154</v>
      </c>
      <c r="K20" s="375">
        <v>57000</v>
      </c>
      <c r="L20" s="363"/>
      <c r="M20" s="364">
        <v>57000</v>
      </c>
      <c r="N20" s="1149">
        <f t="shared" si="2"/>
        <v>0</v>
      </c>
      <c r="O20" s="465">
        <f t="shared" si="3"/>
        <v>0</v>
      </c>
      <c r="P20" s="324"/>
      <c r="Q20" s="329"/>
    </row>
    <row r="21" spans="1:17" ht="11.25" customHeight="1">
      <c r="A21" s="323">
        <v>21</v>
      </c>
      <c r="B21" s="338"/>
      <c r="C21" s="1666"/>
      <c r="D21" s="1666"/>
      <c r="E21" s="1666"/>
      <c r="F21" s="372"/>
      <c r="G21" s="372"/>
      <c r="H21" s="373"/>
      <c r="I21" s="350"/>
      <c r="J21" s="374" t="s">
        <v>155</v>
      </c>
      <c r="K21" s="375">
        <v>45800</v>
      </c>
      <c r="L21" s="363"/>
      <c r="M21" s="364">
        <v>45800</v>
      </c>
      <c r="N21" s="1149">
        <f t="shared" si="2"/>
        <v>0</v>
      </c>
      <c r="O21" s="465">
        <f t="shared" si="3"/>
        <v>0</v>
      </c>
      <c r="P21" s="324"/>
      <c r="Q21" s="329"/>
    </row>
    <row r="22" spans="1:17" ht="11.25" customHeight="1">
      <c r="A22" s="323">
        <v>22</v>
      </c>
      <c r="B22" s="338"/>
      <c r="C22" s="1666"/>
      <c r="D22" s="1666"/>
      <c r="E22" s="1666"/>
      <c r="F22" s="372"/>
      <c r="G22" s="372"/>
      <c r="H22" s="373"/>
      <c r="I22" s="350"/>
      <c r="J22" s="374" t="s">
        <v>483</v>
      </c>
      <c r="K22" s="375">
        <v>35500</v>
      </c>
      <c r="L22" s="363"/>
      <c r="M22" s="364">
        <v>35500</v>
      </c>
      <c r="N22" s="1149">
        <f t="shared" si="2"/>
        <v>0</v>
      </c>
      <c r="O22" s="465">
        <f t="shared" si="3"/>
        <v>0</v>
      </c>
      <c r="P22" s="324"/>
      <c r="Q22" s="329"/>
    </row>
    <row r="23" spans="1:17" ht="11.25" customHeight="1">
      <c r="A23" s="323">
        <v>23</v>
      </c>
      <c r="B23" s="338"/>
      <c r="C23" s="1666"/>
      <c r="D23" s="1666"/>
      <c r="E23" s="1666"/>
      <c r="F23" s="372"/>
      <c r="G23" s="372"/>
      <c r="H23" s="373"/>
      <c r="I23" s="350"/>
      <c r="J23" s="376" t="s">
        <v>530</v>
      </c>
      <c r="K23" s="377">
        <v>27500</v>
      </c>
      <c r="L23" s="363"/>
      <c r="M23" s="364">
        <v>27500</v>
      </c>
      <c r="N23" s="1149">
        <f t="shared" si="2"/>
        <v>0</v>
      </c>
      <c r="O23" s="465">
        <f t="shared" si="3"/>
        <v>0</v>
      </c>
      <c r="P23" s="324"/>
      <c r="Q23" s="329"/>
    </row>
    <row r="24" spans="1:17" ht="11.25" customHeight="1" thickBot="1">
      <c r="A24" s="323">
        <v>24</v>
      </c>
      <c r="B24" s="338"/>
      <c r="C24" s="1666"/>
      <c r="D24" s="1666"/>
      <c r="E24" s="1666"/>
      <c r="F24" s="372"/>
      <c r="G24" s="372"/>
      <c r="H24" s="373"/>
      <c r="I24" s="350"/>
      <c r="J24" s="378"/>
      <c r="K24" s="379"/>
      <c r="L24" s="379"/>
      <c r="M24" s="380"/>
      <c r="N24" s="381"/>
      <c r="O24" s="382"/>
      <c r="P24" s="324"/>
      <c r="Q24" s="329"/>
    </row>
    <row r="25" spans="1:17" ht="11.25" customHeight="1">
      <c r="A25" s="323">
        <v>25</v>
      </c>
      <c r="B25" s="338"/>
      <c r="C25" s="338"/>
      <c r="D25" s="369"/>
      <c r="E25" s="369"/>
      <c r="F25" s="369"/>
      <c r="G25" s="369"/>
      <c r="H25" s="383"/>
      <c r="I25" s="350"/>
      <c r="J25" s="372"/>
      <c r="K25" s="343"/>
      <c r="L25" s="343"/>
      <c r="M25" s="344"/>
      <c r="N25" s="372"/>
      <c r="O25" s="384"/>
      <c r="P25" s="324"/>
      <c r="Q25" s="329"/>
    </row>
    <row r="26" spans="1:17" ht="11.25" customHeight="1">
      <c r="A26" s="323">
        <v>26</v>
      </c>
      <c r="B26" s="338"/>
      <c r="C26" s="338"/>
      <c r="D26" s="369"/>
      <c r="E26" s="369"/>
      <c r="F26" s="369"/>
      <c r="G26" s="369"/>
      <c r="H26" s="383"/>
      <c r="I26" s="350"/>
      <c r="J26" s="372"/>
      <c r="K26" s="343"/>
      <c r="L26" s="343"/>
      <c r="M26" s="344"/>
      <c r="N26" s="372"/>
      <c r="O26" s="384"/>
      <c r="P26" s="324"/>
      <c r="Q26" s="329"/>
    </row>
    <row r="27" spans="1:17" ht="11.25" customHeight="1">
      <c r="A27" s="323">
        <v>27</v>
      </c>
      <c r="B27" s="338"/>
      <c r="C27" s="338"/>
      <c r="D27" s="369"/>
      <c r="E27" s="369"/>
      <c r="F27" s="369"/>
      <c r="G27" s="369"/>
      <c r="H27" s="383"/>
      <c r="I27" s="350"/>
      <c r="J27" s="372"/>
      <c r="K27" s="343"/>
      <c r="L27" s="343"/>
      <c r="M27" s="344"/>
      <c r="N27" s="372"/>
      <c r="O27" s="384"/>
      <c r="P27" s="324"/>
      <c r="Q27" s="329"/>
    </row>
    <row r="28" spans="1:17" ht="12" thickBot="1">
      <c r="A28" s="323">
        <v>28</v>
      </c>
      <c r="B28" s="338"/>
      <c r="C28" s="338"/>
      <c r="D28" s="369"/>
      <c r="E28" s="369"/>
      <c r="F28" s="369"/>
      <c r="G28" s="369"/>
      <c r="H28" s="383"/>
      <c r="I28" s="350"/>
      <c r="J28" s="372"/>
      <c r="K28" s="343"/>
      <c r="L28" s="343"/>
      <c r="M28" s="344"/>
      <c r="N28" s="372"/>
      <c r="O28" s="384"/>
      <c r="P28" s="324"/>
      <c r="Q28" s="329"/>
    </row>
    <row r="29" spans="1:17" ht="12.75" customHeight="1">
      <c r="A29" s="323">
        <v>29</v>
      </c>
      <c r="B29" s="1670" t="s">
        <v>531</v>
      </c>
      <c r="C29" s="1671"/>
      <c r="D29" s="1671"/>
      <c r="E29" s="1671"/>
      <c r="F29" s="1671"/>
      <c r="G29" s="1671"/>
      <c r="H29" s="1671"/>
      <c r="I29" s="1671"/>
      <c r="J29" s="1671"/>
      <c r="K29" s="1671"/>
      <c r="L29" s="1671"/>
      <c r="M29" s="1671"/>
      <c r="N29" s="1671"/>
      <c r="O29" s="385"/>
      <c r="P29" s="324"/>
      <c r="Q29" s="329"/>
    </row>
    <row r="30" spans="1:17">
      <c r="A30" s="323">
        <v>30</v>
      </c>
      <c r="B30" s="348"/>
      <c r="N30" s="392"/>
      <c r="O30" s="354"/>
      <c r="P30" s="324"/>
      <c r="Q30" s="329"/>
    </row>
    <row r="31" spans="1:17" ht="32.25">
      <c r="A31" s="323">
        <v>31</v>
      </c>
      <c r="B31" s="393" t="s">
        <v>532</v>
      </c>
      <c r="C31" s="394" t="s">
        <v>533</v>
      </c>
      <c r="D31" s="395" t="s">
        <v>534</v>
      </c>
      <c r="E31" s="395"/>
      <c r="F31" s="395"/>
      <c r="G31" s="395"/>
      <c r="H31" s="396"/>
      <c r="I31" s="397"/>
      <c r="J31" s="395"/>
      <c r="K31" s="398"/>
      <c r="L31" s="399"/>
      <c r="M31" s="400"/>
      <c r="N31" s="400"/>
      <c r="O31" s="401" t="s">
        <v>535</v>
      </c>
      <c r="P31" s="324"/>
      <c r="Q31" s="1052" t="s">
        <v>535</v>
      </c>
    </row>
    <row r="32" spans="1:17">
      <c r="A32" s="323">
        <v>32</v>
      </c>
      <c r="B32" s="393"/>
      <c r="C32" s="394"/>
      <c r="D32" s="395"/>
      <c r="E32" s="1672" t="s">
        <v>536</v>
      </c>
      <c r="F32" s="1672"/>
      <c r="G32" s="1672"/>
      <c r="H32" s="1672"/>
      <c r="I32" s="1672"/>
      <c r="J32" s="1673" t="s">
        <v>537</v>
      </c>
      <c r="K32" s="1673"/>
      <c r="L32" s="402"/>
      <c r="M32" s="403"/>
      <c r="N32" s="403"/>
      <c r="O32" s="404"/>
      <c r="P32" s="324"/>
      <c r="Q32" s="329"/>
    </row>
    <row r="33" spans="1:17">
      <c r="A33" s="323">
        <v>33</v>
      </c>
      <c r="B33" s="393"/>
      <c r="C33" s="394"/>
      <c r="D33" s="395"/>
      <c r="E33" s="395"/>
      <c r="F33" s="395"/>
      <c r="G33" s="395"/>
      <c r="H33" s="396"/>
      <c r="I33" s="397"/>
      <c r="J33" s="395"/>
      <c r="K33" s="398"/>
      <c r="L33" s="399"/>
      <c r="M33" s="400"/>
      <c r="N33" s="400"/>
      <c r="O33" s="401"/>
      <c r="P33" s="324"/>
      <c r="Q33" s="329"/>
    </row>
    <row r="34" spans="1:17" ht="56.25">
      <c r="A34" s="323">
        <v>34</v>
      </c>
      <c r="B34" s="405" t="s">
        <v>182</v>
      </c>
      <c r="C34" s="406" t="s">
        <v>538</v>
      </c>
      <c r="D34" s="407"/>
      <c r="E34" s="408"/>
      <c r="F34" s="408"/>
      <c r="G34" s="408"/>
      <c r="H34" s="409"/>
      <c r="I34" s="410"/>
      <c r="J34" s="411" t="s">
        <v>513</v>
      </c>
      <c r="K34" s="411" t="s">
        <v>514</v>
      </c>
      <c r="L34" s="411" t="s">
        <v>515</v>
      </c>
      <c r="M34" s="411" t="s">
        <v>516</v>
      </c>
      <c r="N34" s="412" t="s">
        <v>517</v>
      </c>
      <c r="O34" s="413" t="s">
        <v>220</v>
      </c>
      <c r="P34" s="324"/>
      <c r="Q34" s="329"/>
    </row>
    <row r="35" spans="1:17">
      <c r="A35" s="323">
        <v>35</v>
      </c>
      <c r="B35" s="414"/>
      <c r="C35" s="415" t="s">
        <v>539</v>
      </c>
      <c r="D35" s="416" t="s">
        <v>540</v>
      </c>
      <c r="E35" s="417"/>
      <c r="F35" s="417"/>
      <c r="G35" s="417"/>
      <c r="H35" s="418"/>
      <c r="I35" s="419"/>
      <c r="J35" s="371"/>
      <c r="K35" s="363"/>
      <c r="L35" s="420"/>
      <c r="M35" s="421">
        <f>IF(J35+(K35*J35+L35)=J35,0,L35+K35*J35)</f>
        <v>0</v>
      </c>
      <c r="N35" s="422">
        <f>IF(J35+M35=J35,0,J35+M35)</f>
        <v>0</v>
      </c>
      <c r="O35" s="423"/>
      <c r="P35" s="324"/>
      <c r="Q35" s="329"/>
    </row>
    <row r="36" spans="1:17" ht="12.75" customHeight="1">
      <c r="A36" s="323">
        <v>36</v>
      </c>
      <c r="B36" s="414">
        <v>1</v>
      </c>
      <c r="C36" s="415" t="s">
        <v>541</v>
      </c>
      <c r="D36" s="416" t="s">
        <v>540</v>
      </c>
      <c r="E36" s="417"/>
      <c r="F36" s="417"/>
      <c r="G36" s="417"/>
      <c r="H36" s="418"/>
      <c r="I36" s="419"/>
      <c r="J36" s="417"/>
      <c r="K36" s="424"/>
      <c r="L36" s="425"/>
      <c r="M36" s="426">
        <f>$M$35*0.89</f>
        <v>0</v>
      </c>
      <c r="N36" s="427">
        <f t="shared" ref="N36:N65" si="4">IF(J36+M36=J36,0,J36+M36)</f>
        <v>0</v>
      </c>
      <c r="O36" s="1674" t="s">
        <v>542</v>
      </c>
      <c r="P36" s="324"/>
      <c r="Q36" s="329"/>
    </row>
    <row r="37" spans="1:17">
      <c r="A37" s="323">
        <v>37</v>
      </c>
      <c r="B37" s="414">
        <v>2</v>
      </c>
      <c r="C37" s="415" t="s">
        <v>543</v>
      </c>
      <c r="D37" s="416" t="s">
        <v>540</v>
      </c>
      <c r="E37" s="417"/>
      <c r="F37" s="417"/>
      <c r="G37" s="417"/>
      <c r="H37" s="418"/>
      <c r="I37" s="419"/>
      <c r="J37" s="417"/>
      <c r="K37" s="424"/>
      <c r="L37" s="425"/>
      <c r="M37" s="426">
        <f>$M$35*0.89</f>
        <v>0</v>
      </c>
      <c r="N37" s="427">
        <f t="shared" si="4"/>
        <v>0</v>
      </c>
      <c r="O37" s="1675"/>
      <c r="P37" s="324"/>
    </row>
    <row r="38" spans="1:17">
      <c r="A38" s="323">
        <v>38</v>
      </c>
      <c r="B38" s="414">
        <v>3</v>
      </c>
      <c r="C38" s="415" t="s">
        <v>544</v>
      </c>
      <c r="D38" s="416" t="s">
        <v>540</v>
      </c>
      <c r="E38" s="417"/>
      <c r="F38" s="417"/>
      <c r="G38" s="417"/>
      <c r="H38" s="418"/>
      <c r="I38" s="419"/>
      <c r="J38" s="417"/>
      <c r="K38" s="424"/>
      <c r="L38" s="425"/>
      <c r="M38" s="426">
        <f>$M$35*0.89</f>
        <v>0</v>
      </c>
      <c r="N38" s="427">
        <f t="shared" si="4"/>
        <v>0</v>
      </c>
      <c r="O38" s="1676"/>
      <c r="P38" s="324"/>
      <c r="Q38" s="329"/>
    </row>
    <row r="39" spans="1:17">
      <c r="A39" s="323">
        <v>39</v>
      </c>
      <c r="B39" s="414">
        <v>1</v>
      </c>
      <c r="C39" s="415" t="s">
        <v>545</v>
      </c>
      <c r="D39" s="416" t="s">
        <v>502</v>
      </c>
      <c r="E39" s="417"/>
      <c r="F39" s="417"/>
      <c r="G39" s="417"/>
      <c r="H39" s="418"/>
      <c r="I39" s="419"/>
      <c r="J39" s="417"/>
      <c r="K39" s="424"/>
      <c r="L39" s="425"/>
      <c r="M39" s="426">
        <f t="shared" ref="M39:M44" si="5">$M$35*0.73</f>
        <v>0</v>
      </c>
      <c r="N39" s="427">
        <f t="shared" si="4"/>
        <v>0</v>
      </c>
      <c r="O39" s="1667" t="s">
        <v>546</v>
      </c>
      <c r="P39" s="324"/>
      <c r="Q39" s="329"/>
    </row>
    <row r="40" spans="1:17">
      <c r="A40" s="323">
        <v>40</v>
      </c>
      <c r="B40" s="414">
        <v>2</v>
      </c>
      <c r="C40" s="415" t="s">
        <v>547</v>
      </c>
      <c r="D40" s="416" t="s">
        <v>502</v>
      </c>
      <c r="E40" s="417"/>
      <c r="F40" s="417"/>
      <c r="G40" s="417"/>
      <c r="H40" s="418"/>
      <c r="I40" s="419"/>
      <c r="J40" s="417"/>
      <c r="K40" s="424"/>
      <c r="L40" s="425"/>
      <c r="M40" s="426">
        <f t="shared" si="5"/>
        <v>0</v>
      </c>
      <c r="N40" s="427">
        <f t="shared" si="4"/>
        <v>0</v>
      </c>
      <c r="O40" s="1668"/>
      <c r="P40" s="324"/>
      <c r="Q40" s="329"/>
    </row>
    <row r="41" spans="1:17">
      <c r="A41" s="323">
        <v>41</v>
      </c>
      <c r="B41" s="414">
        <v>3</v>
      </c>
      <c r="C41" s="415" t="s">
        <v>548</v>
      </c>
      <c r="D41" s="416" t="s">
        <v>502</v>
      </c>
      <c r="E41" s="417"/>
      <c r="F41" s="417"/>
      <c r="G41" s="417"/>
      <c r="H41" s="418"/>
      <c r="I41" s="419"/>
      <c r="J41" s="417"/>
      <c r="K41" s="424"/>
      <c r="L41" s="425"/>
      <c r="M41" s="426">
        <f t="shared" si="5"/>
        <v>0</v>
      </c>
      <c r="N41" s="427">
        <f t="shared" si="4"/>
        <v>0</v>
      </c>
      <c r="O41" s="1668"/>
      <c r="P41" s="324"/>
      <c r="Q41" s="329"/>
    </row>
    <row r="42" spans="1:17">
      <c r="A42" s="323">
        <v>42</v>
      </c>
      <c r="B42" s="414">
        <v>4</v>
      </c>
      <c r="C42" s="428" t="s">
        <v>549</v>
      </c>
      <c r="D42" s="416" t="s">
        <v>502</v>
      </c>
      <c r="E42" s="417"/>
      <c r="F42" s="417"/>
      <c r="G42" s="417"/>
      <c r="H42" s="418"/>
      <c r="I42" s="419"/>
      <c r="J42" s="417"/>
      <c r="K42" s="424"/>
      <c r="L42" s="425"/>
      <c r="M42" s="426">
        <f t="shared" si="5"/>
        <v>0</v>
      </c>
      <c r="N42" s="427">
        <f t="shared" si="4"/>
        <v>0</v>
      </c>
      <c r="O42" s="1668"/>
      <c r="P42" s="324"/>
      <c r="Q42" s="329"/>
    </row>
    <row r="43" spans="1:17">
      <c r="A43" s="323">
        <v>43</v>
      </c>
      <c r="B43" s="414">
        <v>5</v>
      </c>
      <c r="C43" s="429" t="s">
        <v>550</v>
      </c>
      <c r="D43" s="416" t="s">
        <v>502</v>
      </c>
      <c r="E43" s="417"/>
      <c r="F43" s="417"/>
      <c r="G43" s="417"/>
      <c r="H43" s="418"/>
      <c r="I43" s="419"/>
      <c r="J43" s="417"/>
      <c r="K43" s="424"/>
      <c r="L43" s="425"/>
      <c r="M43" s="426">
        <f t="shared" si="5"/>
        <v>0</v>
      </c>
      <c r="N43" s="427">
        <f t="shared" si="4"/>
        <v>0</v>
      </c>
      <c r="O43" s="1668"/>
      <c r="P43" s="324"/>
      <c r="Q43" s="329"/>
    </row>
    <row r="44" spans="1:17">
      <c r="A44" s="323">
        <v>44</v>
      </c>
      <c r="B44" s="414">
        <v>6</v>
      </c>
      <c r="C44" s="415" t="s">
        <v>551</v>
      </c>
      <c r="D44" s="416" t="s">
        <v>502</v>
      </c>
      <c r="E44" s="417"/>
      <c r="F44" s="417"/>
      <c r="G44" s="417"/>
      <c r="H44" s="418"/>
      <c r="I44" s="419"/>
      <c r="J44" s="417"/>
      <c r="K44" s="424"/>
      <c r="L44" s="425"/>
      <c r="M44" s="426">
        <f t="shared" si="5"/>
        <v>0</v>
      </c>
      <c r="N44" s="427">
        <f t="shared" si="4"/>
        <v>0</v>
      </c>
      <c r="O44" s="1669"/>
      <c r="P44" s="324"/>
      <c r="Q44" s="329"/>
    </row>
    <row r="45" spans="1:17">
      <c r="A45" s="323">
        <v>45</v>
      </c>
      <c r="B45" s="430">
        <v>1</v>
      </c>
      <c r="C45" s="429" t="s">
        <v>552</v>
      </c>
      <c r="D45" s="431" t="s">
        <v>553</v>
      </c>
      <c r="E45" s="432"/>
      <c r="F45" s="432"/>
      <c r="G45" s="432"/>
      <c r="H45" s="433"/>
      <c r="I45" s="434"/>
      <c r="J45" s="432"/>
      <c r="K45" s="435"/>
      <c r="L45" s="436"/>
      <c r="M45" s="437">
        <f>$M$35*0.68</f>
        <v>0</v>
      </c>
      <c r="N45" s="438">
        <f t="shared" si="4"/>
        <v>0</v>
      </c>
      <c r="O45" s="1667" t="s">
        <v>554</v>
      </c>
      <c r="P45" s="324"/>
      <c r="Q45" s="329"/>
    </row>
    <row r="46" spans="1:17">
      <c r="A46" s="323">
        <v>46</v>
      </c>
      <c r="B46" s="414">
        <v>2</v>
      </c>
      <c r="C46" s="415" t="s">
        <v>555</v>
      </c>
      <c r="D46" s="416" t="s">
        <v>553</v>
      </c>
      <c r="E46" s="417"/>
      <c r="F46" s="417"/>
      <c r="G46" s="417"/>
      <c r="H46" s="418"/>
      <c r="I46" s="419"/>
      <c r="J46" s="417"/>
      <c r="K46" s="424"/>
      <c r="L46" s="425"/>
      <c r="M46" s="426">
        <f>$M$35*0.68</f>
        <v>0</v>
      </c>
      <c r="N46" s="427">
        <f t="shared" si="4"/>
        <v>0</v>
      </c>
      <c r="O46" s="1668"/>
      <c r="P46" s="324"/>
      <c r="Q46" s="329"/>
    </row>
    <row r="47" spans="1:17">
      <c r="A47" s="323">
        <v>47</v>
      </c>
      <c r="B47" s="414">
        <v>3</v>
      </c>
      <c r="C47" s="415" t="s">
        <v>556</v>
      </c>
      <c r="D47" s="416" t="s">
        <v>553</v>
      </c>
      <c r="E47" s="417"/>
      <c r="F47" s="417"/>
      <c r="G47" s="417"/>
      <c r="H47" s="418"/>
      <c r="I47" s="419"/>
      <c r="J47" s="417"/>
      <c r="K47" s="424"/>
      <c r="L47" s="425"/>
      <c r="M47" s="426">
        <f>$M$35*0.68</f>
        <v>0</v>
      </c>
      <c r="N47" s="427">
        <f t="shared" si="4"/>
        <v>0</v>
      </c>
      <c r="O47" s="1669"/>
      <c r="P47" s="324"/>
      <c r="Q47" s="329"/>
    </row>
    <row r="48" spans="1:17">
      <c r="A48" s="323">
        <v>48</v>
      </c>
      <c r="B48" s="414">
        <v>4</v>
      </c>
      <c r="C48" s="415" t="s">
        <v>557</v>
      </c>
      <c r="D48" s="416" t="s">
        <v>553</v>
      </c>
      <c r="E48" s="417"/>
      <c r="F48" s="417"/>
      <c r="G48" s="417"/>
      <c r="H48" s="418"/>
      <c r="I48" s="419"/>
      <c r="J48" s="417"/>
      <c r="K48" s="424"/>
      <c r="L48" s="425"/>
      <c r="M48" s="426">
        <f>$M$35*0.61</f>
        <v>0</v>
      </c>
      <c r="N48" s="427">
        <f t="shared" si="4"/>
        <v>0</v>
      </c>
      <c r="O48" s="353" t="s">
        <v>558</v>
      </c>
      <c r="P48" s="324"/>
      <c r="Q48" s="329"/>
    </row>
    <row r="49" spans="1:17">
      <c r="A49" s="323">
        <v>49</v>
      </c>
      <c r="B49" s="414">
        <v>1</v>
      </c>
      <c r="C49" s="415" t="s">
        <v>559</v>
      </c>
      <c r="D49" s="416" t="s">
        <v>504</v>
      </c>
      <c r="E49" s="417"/>
      <c r="F49" s="417"/>
      <c r="G49" s="417"/>
      <c r="H49" s="418"/>
      <c r="I49" s="419"/>
      <c r="J49" s="417"/>
      <c r="K49" s="424"/>
      <c r="L49" s="425"/>
      <c r="M49" s="426">
        <f>$M$35*0.6</f>
        <v>0</v>
      </c>
      <c r="N49" s="427">
        <f t="shared" si="4"/>
        <v>0</v>
      </c>
      <c r="O49" s="1667" t="s">
        <v>560</v>
      </c>
      <c r="P49" s="324"/>
      <c r="Q49" s="329"/>
    </row>
    <row r="50" spans="1:17">
      <c r="A50" s="323">
        <v>50</v>
      </c>
      <c r="B50" s="414">
        <v>2</v>
      </c>
      <c r="C50" s="415" t="s">
        <v>561</v>
      </c>
      <c r="D50" s="416" t="s">
        <v>504</v>
      </c>
      <c r="E50" s="417"/>
      <c r="F50" s="417"/>
      <c r="G50" s="417"/>
      <c r="H50" s="418"/>
      <c r="I50" s="419"/>
      <c r="J50" s="417"/>
      <c r="K50" s="424"/>
      <c r="L50" s="425"/>
      <c r="M50" s="426">
        <f t="shared" ref="M50:M57" si="6">$M$35*0.6</f>
        <v>0</v>
      </c>
      <c r="N50" s="427">
        <f t="shared" si="4"/>
        <v>0</v>
      </c>
      <c r="O50" s="1668"/>
      <c r="P50" s="324"/>
      <c r="Q50" s="329"/>
    </row>
    <row r="51" spans="1:17">
      <c r="A51" s="323">
        <v>51</v>
      </c>
      <c r="B51" s="414">
        <v>3</v>
      </c>
      <c r="C51" s="415" t="s">
        <v>562</v>
      </c>
      <c r="D51" s="416" t="s">
        <v>504</v>
      </c>
      <c r="E51" s="417"/>
      <c r="F51" s="417"/>
      <c r="G51" s="417"/>
      <c r="H51" s="418"/>
      <c r="I51" s="419"/>
      <c r="J51" s="417"/>
      <c r="K51" s="424"/>
      <c r="L51" s="425"/>
      <c r="M51" s="426">
        <f t="shared" si="6"/>
        <v>0</v>
      </c>
      <c r="N51" s="427">
        <f t="shared" si="4"/>
        <v>0</v>
      </c>
      <c r="O51" s="1668"/>
      <c r="P51" s="324"/>
      <c r="Q51" s="329"/>
    </row>
    <row r="52" spans="1:17">
      <c r="A52" s="323">
        <v>52</v>
      </c>
      <c r="B52" s="414">
        <v>4</v>
      </c>
      <c r="C52" s="415" t="s">
        <v>563</v>
      </c>
      <c r="D52" s="416" t="s">
        <v>504</v>
      </c>
      <c r="E52" s="417"/>
      <c r="F52" s="417"/>
      <c r="G52" s="417"/>
      <c r="H52" s="418"/>
      <c r="I52" s="419"/>
      <c r="J52" s="417"/>
      <c r="K52" s="424"/>
      <c r="L52" s="425"/>
      <c r="M52" s="426">
        <f t="shared" si="6"/>
        <v>0</v>
      </c>
      <c r="N52" s="427">
        <f t="shared" si="4"/>
        <v>0</v>
      </c>
      <c r="O52" s="1668"/>
      <c r="P52" s="324"/>
      <c r="Q52" s="329"/>
    </row>
    <row r="53" spans="1:17">
      <c r="A53" s="323">
        <v>53</v>
      </c>
      <c r="B53" s="414">
        <v>5</v>
      </c>
      <c r="C53" s="415" t="s">
        <v>564</v>
      </c>
      <c r="D53" s="416" t="s">
        <v>504</v>
      </c>
      <c r="E53" s="417"/>
      <c r="F53" s="417"/>
      <c r="G53" s="417"/>
      <c r="H53" s="418"/>
      <c r="I53" s="419"/>
      <c r="J53" s="417"/>
      <c r="K53" s="424"/>
      <c r="L53" s="425"/>
      <c r="M53" s="426">
        <f t="shared" si="6"/>
        <v>0</v>
      </c>
      <c r="N53" s="427">
        <f t="shared" si="4"/>
        <v>0</v>
      </c>
      <c r="O53" s="1668"/>
      <c r="P53" s="324"/>
      <c r="Q53" s="329"/>
    </row>
    <row r="54" spans="1:17">
      <c r="A54" s="323">
        <v>54</v>
      </c>
      <c r="B54" s="414">
        <v>6</v>
      </c>
      <c r="C54" s="415" t="s">
        <v>565</v>
      </c>
      <c r="D54" s="416" t="s">
        <v>504</v>
      </c>
      <c r="E54" s="417"/>
      <c r="F54" s="417"/>
      <c r="G54" s="417"/>
      <c r="H54" s="418"/>
      <c r="I54" s="419"/>
      <c r="J54" s="417"/>
      <c r="K54" s="424"/>
      <c r="L54" s="425"/>
      <c r="M54" s="426">
        <f t="shared" si="6"/>
        <v>0</v>
      </c>
      <c r="N54" s="427">
        <f t="shared" si="4"/>
        <v>0</v>
      </c>
      <c r="O54" s="1668"/>
      <c r="P54" s="324"/>
      <c r="Q54" s="329"/>
    </row>
    <row r="55" spans="1:17">
      <c r="A55" s="323">
        <v>55</v>
      </c>
      <c r="B55" s="414">
        <v>7</v>
      </c>
      <c r="C55" s="415" t="s">
        <v>566</v>
      </c>
      <c r="D55" s="416" t="s">
        <v>504</v>
      </c>
      <c r="E55" s="417"/>
      <c r="F55" s="417"/>
      <c r="G55" s="417"/>
      <c r="H55" s="418"/>
      <c r="I55" s="419"/>
      <c r="J55" s="417"/>
      <c r="K55" s="424"/>
      <c r="L55" s="425"/>
      <c r="M55" s="426">
        <f t="shared" si="6"/>
        <v>0</v>
      </c>
      <c r="N55" s="427">
        <f t="shared" si="4"/>
        <v>0</v>
      </c>
      <c r="O55" s="1668"/>
      <c r="P55" s="324"/>
      <c r="Q55" s="329"/>
    </row>
    <row r="56" spans="1:17">
      <c r="A56" s="323">
        <v>56</v>
      </c>
      <c r="B56" s="414">
        <v>8</v>
      </c>
      <c r="C56" s="415" t="s">
        <v>567</v>
      </c>
      <c r="D56" s="416" t="s">
        <v>504</v>
      </c>
      <c r="E56" s="417"/>
      <c r="F56" s="417"/>
      <c r="G56" s="417"/>
      <c r="H56" s="418"/>
      <c r="I56" s="419"/>
      <c r="J56" s="417"/>
      <c r="K56" s="424"/>
      <c r="L56" s="425"/>
      <c r="M56" s="426">
        <f t="shared" si="6"/>
        <v>0</v>
      </c>
      <c r="N56" s="427">
        <f t="shared" si="4"/>
        <v>0</v>
      </c>
      <c r="O56" s="1668"/>
      <c r="P56" s="324"/>
      <c r="Q56" s="329"/>
    </row>
    <row r="57" spans="1:17">
      <c r="B57" s="414">
        <v>9</v>
      </c>
      <c r="C57" s="415" t="s">
        <v>568</v>
      </c>
      <c r="D57" s="416" t="s">
        <v>504</v>
      </c>
      <c r="E57" s="417"/>
      <c r="F57" s="417"/>
      <c r="G57" s="417"/>
      <c r="H57" s="418"/>
      <c r="I57" s="419"/>
      <c r="J57" s="417"/>
      <c r="K57" s="424"/>
      <c r="L57" s="425"/>
      <c r="M57" s="426">
        <f t="shared" si="6"/>
        <v>0</v>
      </c>
      <c r="N57" s="427">
        <f>IF(J57+M57=J57,0,J57+M57)</f>
        <v>0</v>
      </c>
      <c r="O57" s="1669"/>
      <c r="P57" s="324"/>
      <c r="Q57" s="329"/>
    </row>
    <row r="58" spans="1:17">
      <c r="A58" s="323">
        <v>57</v>
      </c>
      <c r="B58" s="414">
        <v>10</v>
      </c>
      <c r="C58" s="415" t="s">
        <v>569</v>
      </c>
      <c r="D58" s="416" t="s">
        <v>505</v>
      </c>
      <c r="E58" s="417"/>
      <c r="F58" s="417"/>
      <c r="G58" s="417"/>
      <c r="H58" s="418"/>
      <c r="I58" s="419"/>
      <c r="J58" s="417"/>
      <c r="K58" s="424"/>
      <c r="L58" s="425"/>
      <c r="M58" s="426">
        <f>$M$35*0.55</f>
        <v>0</v>
      </c>
      <c r="N58" s="427">
        <f t="shared" si="4"/>
        <v>0</v>
      </c>
      <c r="O58" s="1667" t="s">
        <v>570</v>
      </c>
      <c r="P58" s="324"/>
      <c r="Q58" s="329"/>
    </row>
    <row r="59" spans="1:17">
      <c r="A59" s="323">
        <v>58</v>
      </c>
      <c r="B59" s="414">
        <v>11</v>
      </c>
      <c r="C59" s="415" t="s">
        <v>571</v>
      </c>
      <c r="D59" s="416" t="s">
        <v>505</v>
      </c>
      <c r="E59" s="417"/>
      <c r="F59" s="417"/>
      <c r="G59" s="417"/>
      <c r="H59" s="418"/>
      <c r="I59" s="419"/>
      <c r="J59" s="417"/>
      <c r="K59" s="424"/>
      <c r="L59" s="425"/>
      <c r="M59" s="426">
        <f>$M$35*0.55</f>
        <v>0</v>
      </c>
      <c r="N59" s="427">
        <f t="shared" si="4"/>
        <v>0</v>
      </c>
      <c r="O59" s="1668"/>
      <c r="P59" s="324"/>
      <c r="Q59" s="329"/>
    </row>
    <row r="60" spans="1:17">
      <c r="A60" s="323">
        <v>59</v>
      </c>
      <c r="B60" s="414">
        <v>12</v>
      </c>
      <c r="C60" s="415" t="s">
        <v>572</v>
      </c>
      <c r="D60" s="416" t="s">
        <v>505</v>
      </c>
      <c r="E60" s="417"/>
      <c r="F60" s="417"/>
      <c r="G60" s="417"/>
      <c r="H60" s="418"/>
      <c r="I60" s="419"/>
      <c r="J60" s="417"/>
      <c r="K60" s="424"/>
      <c r="L60" s="425"/>
      <c r="M60" s="426">
        <f>$M$35*0.55</f>
        <v>0</v>
      </c>
      <c r="N60" s="427">
        <f t="shared" si="4"/>
        <v>0</v>
      </c>
      <c r="O60" s="1669"/>
      <c r="P60" s="324"/>
      <c r="Q60" s="329"/>
    </row>
    <row r="61" spans="1:17">
      <c r="A61" s="323">
        <v>60</v>
      </c>
      <c r="B61" s="414">
        <v>13</v>
      </c>
      <c r="C61" s="415" t="s">
        <v>573</v>
      </c>
      <c r="D61" s="416" t="s">
        <v>506</v>
      </c>
      <c r="E61" s="417"/>
      <c r="F61" s="417"/>
      <c r="G61" s="417"/>
      <c r="H61" s="418"/>
      <c r="I61" s="419"/>
      <c r="J61" s="417"/>
      <c r="K61" s="424"/>
      <c r="L61" s="425"/>
      <c r="M61" s="426">
        <f>$M$35*0.45</f>
        <v>0</v>
      </c>
      <c r="N61" s="427">
        <f t="shared" si="4"/>
        <v>0</v>
      </c>
      <c r="O61" s="1667" t="s">
        <v>574</v>
      </c>
      <c r="P61" s="324"/>
      <c r="Q61" s="329"/>
    </row>
    <row r="62" spans="1:17">
      <c r="A62" s="323">
        <v>61</v>
      </c>
      <c r="B62" s="414">
        <v>14</v>
      </c>
      <c r="C62" s="415" t="s">
        <v>575</v>
      </c>
      <c r="D62" s="416" t="s">
        <v>506</v>
      </c>
      <c r="E62" s="417"/>
      <c r="F62" s="417"/>
      <c r="G62" s="417"/>
      <c r="H62" s="418"/>
      <c r="I62" s="419"/>
      <c r="J62" s="417"/>
      <c r="K62" s="424"/>
      <c r="L62" s="425"/>
      <c r="M62" s="426">
        <f>$M$35*0.45</f>
        <v>0</v>
      </c>
      <c r="N62" s="427">
        <f t="shared" si="4"/>
        <v>0</v>
      </c>
      <c r="O62" s="1668"/>
      <c r="P62" s="324"/>
      <c r="Q62" s="329"/>
    </row>
    <row r="63" spans="1:17">
      <c r="A63" s="323">
        <v>62</v>
      </c>
      <c r="B63" s="414">
        <v>15</v>
      </c>
      <c r="C63" s="415" t="s">
        <v>576</v>
      </c>
      <c r="D63" s="416"/>
      <c r="E63" s="417"/>
      <c r="F63" s="417"/>
      <c r="G63" s="417"/>
      <c r="H63" s="418"/>
      <c r="I63" s="419"/>
      <c r="J63" s="417"/>
      <c r="K63" s="424"/>
      <c r="L63" s="425"/>
      <c r="M63" s="426">
        <f>$M$35*0.45</f>
        <v>0</v>
      </c>
      <c r="N63" s="427">
        <f t="shared" si="4"/>
        <v>0</v>
      </c>
      <c r="O63" s="1668"/>
      <c r="P63" s="324"/>
      <c r="Q63" s="329"/>
    </row>
    <row r="64" spans="1:17">
      <c r="A64" s="323">
        <v>63</v>
      </c>
      <c r="B64" s="414">
        <v>16</v>
      </c>
      <c r="C64" s="415" t="s">
        <v>577</v>
      </c>
      <c r="D64" s="416" t="s">
        <v>506</v>
      </c>
      <c r="E64" s="417"/>
      <c r="F64" s="417"/>
      <c r="G64" s="417"/>
      <c r="H64" s="418"/>
      <c r="I64" s="419"/>
      <c r="J64" s="417"/>
      <c r="K64" s="424"/>
      <c r="L64" s="425"/>
      <c r="M64" s="426">
        <f>$M$35*0.45</f>
        <v>0</v>
      </c>
      <c r="N64" s="427">
        <f t="shared" si="4"/>
        <v>0</v>
      </c>
      <c r="O64" s="1668"/>
      <c r="P64" s="324"/>
      <c r="Q64" s="329"/>
    </row>
    <row r="65" spans="1:17">
      <c r="A65" s="323">
        <v>64</v>
      </c>
      <c r="B65" s="414">
        <v>17</v>
      </c>
      <c r="C65" s="429" t="s">
        <v>578</v>
      </c>
      <c r="D65" s="431" t="s">
        <v>506</v>
      </c>
      <c r="E65" s="439"/>
      <c r="F65" s="439"/>
      <c r="G65" s="439"/>
      <c r="H65" s="440"/>
      <c r="I65" s="441"/>
      <c r="J65" s="417"/>
      <c r="K65" s="424"/>
      <c r="L65" s="425"/>
      <c r="M65" s="426">
        <f>$M$35*0.45</f>
        <v>0</v>
      </c>
      <c r="N65" s="427">
        <f t="shared" si="4"/>
        <v>0</v>
      </c>
      <c r="O65" s="1669"/>
      <c r="P65" s="324"/>
      <c r="Q65" s="329"/>
    </row>
    <row r="66" spans="1:17">
      <c r="A66" s="323">
        <v>65</v>
      </c>
      <c r="B66" s="442"/>
      <c r="C66" s="443"/>
      <c r="D66" s="444"/>
      <c r="E66" s="444"/>
      <c r="F66" s="444"/>
      <c r="G66" s="444"/>
      <c r="H66" s="445"/>
      <c r="I66" s="446"/>
      <c r="J66" s="444"/>
      <c r="K66" s="447"/>
      <c r="L66" s="447"/>
      <c r="M66" s="446"/>
      <c r="N66" s="446"/>
      <c r="O66" s="448"/>
      <c r="P66" s="324"/>
      <c r="Q66" s="329"/>
    </row>
    <row r="67" spans="1:17" ht="33.75">
      <c r="A67" s="323">
        <v>66</v>
      </c>
      <c r="B67" s="449"/>
      <c r="C67" s="429" t="s">
        <v>579</v>
      </c>
      <c r="D67" s="387"/>
      <c r="E67" s="390"/>
      <c r="F67" s="390"/>
      <c r="G67" s="390"/>
      <c r="H67" s="450"/>
      <c r="J67" s="1151">
        <v>138750</v>
      </c>
      <c r="K67" s="363"/>
      <c r="L67" s="1153">
        <v>138750</v>
      </c>
      <c r="M67" s="1149">
        <f t="shared" ref="M67:M69" si="7">IF(J67=0,0,L67-J67)</f>
        <v>0</v>
      </c>
      <c r="N67" s="1157">
        <f>IF(J67+M67=J67,0,J67+M67)</f>
        <v>0</v>
      </c>
      <c r="O67" s="452" t="s">
        <v>580</v>
      </c>
      <c r="P67" s="324"/>
      <c r="Q67" s="329"/>
    </row>
    <row r="68" spans="1:17" ht="45" customHeight="1">
      <c r="A68" s="323">
        <v>67</v>
      </c>
      <c r="B68" s="449"/>
      <c r="C68" s="415" t="s">
        <v>581</v>
      </c>
      <c r="D68" s="387"/>
      <c r="E68" s="390"/>
      <c r="F68" s="390"/>
      <c r="G68" s="390"/>
      <c r="H68" s="450"/>
      <c r="J68" s="1151">
        <v>68100</v>
      </c>
      <c r="K68" s="363"/>
      <c r="L68" s="1153">
        <v>68100</v>
      </c>
      <c r="M68" s="1149">
        <f t="shared" si="7"/>
        <v>0</v>
      </c>
      <c r="N68" s="1157">
        <f t="shared" ref="N68:N69" si="8">IF(J68+M68=J68,0,J68+M68)</f>
        <v>0</v>
      </c>
      <c r="O68" s="1677" t="s">
        <v>582</v>
      </c>
      <c r="P68" s="324"/>
      <c r="Q68" s="329"/>
    </row>
    <row r="69" spans="1:17">
      <c r="A69" s="323">
        <v>68</v>
      </c>
      <c r="B69" s="449"/>
      <c r="C69" s="415" t="s">
        <v>583</v>
      </c>
      <c r="D69" s="387"/>
      <c r="E69" s="390"/>
      <c r="F69" s="390"/>
      <c r="G69" s="390"/>
      <c r="H69" s="450"/>
      <c r="J69" s="1151">
        <v>56900</v>
      </c>
      <c r="K69" s="363"/>
      <c r="L69" s="1153">
        <v>56900</v>
      </c>
      <c r="M69" s="1149">
        <f t="shared" si="7"/>
        <v>0</v>
      </c>
      <c r="N69" s="1157">
        <f t="shared" si="8"/>
        <v>0</v>
      </c>
      <c r="O69" s="1678"/>
      <c r="P69" s="324"/>
      <c r="Q69" s="329"/>
    </row>
    <row r="70" spans="1:17" ht="56.25">
      <c r="A70" s="323">
        <v>69</v>
      </c>
      <c r="B70" s="453" t="s">
        <v>186</v>
      </c>
      <c r="C70" s="406" t="s">
        <v>584</v>
      </c>
      <c r="D70" s="407"/>
      <c r="E70" s="454" t="s">
        <v>513</v>
      </c>
      <c r="F70" s="454" t="s">
        <v>514</v>
      </c>
      <c r="G70" s="454" t="s">
        <v>515</v>
      </c>
      <c r="H70" s="455" t="s">
        <v>516</v>
      </c>
      <c r="I70" s="456" t="s">
        <v>517</v>
      </c>
      <c r="J70" s="1152" t="s">
        <v>513</v>
      </c>
      <c r="K70" s="457" t="s">
        <v>516</v>
      </c>
      <c r="L70" s="457" t="s">
        <v>515</v>
      </c>
      <c r="M70" s="456" t="s">
        <v>516</v>
      </c>
      <c r="N70" s="458" t="s">
        <v>517</v>
      </c>
      <c r="O70" s="459"/>
      <c r="P70" s="324"/>
      <c r="Q70" s="329"/>
    </row>
    <row r="71" spans="1:17" ht="22.5">
      <c r="A71" s="323">
        <v>70</v>
      </c>
      <c r="B71" s="460">
        <v>2.1</v>
      </c>
      <c r="C71" s="461" t="s">
        <v>585</v>
      </c>
      <c r="D71" s="462" t="s">
        <v>528</v>
      </c>
      <c r="E71" s="1147">
        <v>14000</v>
      </c>
      <c r="F71" s="463"/>
      <c r="G71" s="1150">
        <v>14000</v>
      </c>
      <c r="H71" s="1149">
        <f>IF(E71=0,0,G71-E71)</f>
        <v>0</v>
      </c>
      <c r="I71" s="465">
        <f>IF(E71+H71=E71,0,E71+H71)</f>
        <v>0</v>
      </c>
      <c r="J71" s="1147">
        <v>128500</v>
      </c>
      <c r="K71" s="424"/>
      <c r="L71" s="1153">
        <v>129000</v>
      </c>
      <c r="M71" s="1149">
        <f>IF(J71=0,0,L71-J71)</f>
        <v>500</v>
      </c>
      <c r="N71" s="465">
        <f>IF(J71+M71=J71,0,J71+M71)</f>
        <v>129000</v>
      </c>
      <c r="O71" s="1688" t="s">
        <v>357</v>
      </c>
      <c r="P71" s="324"/>
      <c r="Q71" s="329"/>
    </row>
    <row r="72" spans="1:17" ht="33.75">
      <c r="A72" s="323">
        <v>71</v>
      </c>
      <c r="B72" s="460">
        <v>2.2000000000000002</v>
      </c>
      <c r="C72" s="461" t="s">
        <v>586</v>
      </c>
      <c r="D72" s="462" t="s">
        <v>480</v>
      </c>
      <c r="E72" s="1147">
        <v>14000</v>
      </c>
      <c r="F72" s="463"/>
      <c r="G72" s="1150">
        <v>14000</v>
      </c>
      <c r="H72" s="1149">
        <f t="shared" ref="H72:H79" si="9">IF(E72=0,0,G72-E72)</f>
        <v>0</v>
      </c>
      <c r="I72" s="465">
        <f t="shared" ref="I72:I79" si="10">IF(E72+H72=E72,0,E72+H72)</f>
        <v>0</v>
      </c>
      <c r="J72" s="1147">
        <v>117500</v>
      </c>
      <c r="K72" s="424"/>
      <c r="L72" s="1153">
        <v>118000</v>
      </c>
      <c r="M72" s="1149">
        <f t="shared" ref="M72:M80" si="11">IF(J72=0,0,L72-J72)</f>
        <v>500</v>
      </c>
      <c r="N72" s="465">
        <f t="shared" ref="N72:N80" si="12">IF(J72+M72=J72,0,J72+M72)</f>
        <v>118000</v>
      </c>
      <c r="O72" s="1689"/>
      <c r="P72" s="324"/>
      <c r="Q72" s="329"/>
    </row>
    <row r="73" spans="1:17" ht="33.75">
      <c r="A73" s="323">
        <v>72</v>
      </c>
      <c r="B73" s="460">
        <v>2.2999999999999998</v>
      </c>
      <c r="C73" s="461" t="s">
        <v>587</v>
      </c>
      <c r="D73" s="462" t="s">
        <v>150</v>
      </c>
      <c r="E73" s="1147">
        <v>14000</v>
      </c>
      <c r="F73" s="463"/>
      <c r="G73" s="1150">
        <v>14000</v>
      </c>
      <c r="H73" s="1149">
        <f t="shared" si="9"/>
        <v>0</v>
      </c>
      <c r="I73" s="465">
        <f t="shared" si="10"/>
        <v>0</v>
      </c>
      <c r="J73" s="1147">
        <v>107100</v>
      </c>
      <c r="K73" s="424"/>
      <c r="L73" s="1153">
        <v>107800</v>
      </c>
      <c r="M73" s="1149">
        <f t="shared" si="11"/>
        <v>700</v>
      </c>
      <c r="N73" s="465">
        <f t="shared" si="12"/>
        <v>107800</v>
      </c>
      <c r="O73" s="1689"/>
      <c r="P73" s="324"/>
      <c r="Q73" s="329"/>
    </row>
    <row r="74" spans="1:17" ht="33.75">
      <c r="A74" s="323">
        <v>73</v>
      </c>
      <c r="B74" s="460">
        <v>2.4</v>
      </c>
      <c r="C74" s="461" t="s">
        <v>358</v>
      </c>
      <c r="D74" s="462" t="s">
        <v>151</v>
      </c>
      <c r="E74" s="1147">
        <v>14000</v>
      </c>
      <c r="F74" s="463"/>
      <c r="G74" s="1150">
        <v>14000</v>
      </c>
      <c r="H74" s="1149">
        <f t="shared" si="9"/>
        <v>0</v>
      </c>
      <c r="I74" s="465">
        <f t="shared" si="10"/>
        <v>0</v>
      </c>
      <c r="J74" s="1147">
        <v>90200</v>
      </c>
      <c r="K74" s="424"/>
      <c r="L74" s="1153">
        <v>91700</v>
      </c>
      <c r="M74" s="1149">
        <f t="shared" si="11"/>
        <v>1500</v>
      </c>
      <c r="N74" s="465">
        <f t="shared" si="12"/>
        <v>91700</v>
      </c>
      <c r="O74" s="1689"/>
      <c r="P74" s="324"/>
      <c r="Q74" s="329"/>
    </row>
    <row r="75" spans="1:17" ht="56.25">
      <c r="A75" s="323">
        <v>74</v>
      </c>
      <c r="B75" s="460">
        <v>2.5</v>
      </c>
      <c r="C75" s="461" t="s">
        <v>359</v>
      </c>
      <c r="D75" s="462" t="s">
        <v>529</v>
      </c>
      <c r="E75" s="1147">
        <v>14000</v>
      </c>
      <c r="F75" s="463"/>
      <c r="G75" s="1150">
        <v>14000</v>
      </c>
      <c r="H75" s="1149">
        <f t="shared" si="9"/>
        <v>0</v>
      </c>
      <c r="I75" s="465">
        <f t="shared" si="10"/>
        <v>0</v>
      </c>
      <c r="J75" s="1147">
        <v>72900</v>
      </c>
      <c r="K75" s="424"/>
      <c r="L75" s="1153">
        <v>74400</v>
      </c>
      <c r="M75" s="1149">
        <f t="shared" si="11"/>
        <v>1500</v>
      </c>
      <c r="N75" s="465">
        <f t="shared" si="12"/>
        <v>74400</v>
      </c>
      <c r="O75" s="1689"/>
      <c r="P75" s="324"/>
      <c r="Q75" s="329"/>
    </row>
    <row r="76" spans="1:17" ht="112.5">
      <c r="A76" s="323">
        <v>75</v>
      </c>
      <c r="B76" s="460">
        <v>2.6</v>
      </c>
      <c r="C76" s="461" t="s">
        <v>360</v>
      </c>
      <c r="D76" s="462" t="s">
        <v>481</v>
      </c>
      <c r="E76" s="1147">
        <v>14000</v>
      </c>
      <c r="F76" s="463"/>
      <c r="G76" s="1150">
        <v>14000</v>
      </c>
      <c r="H76" s="1149">
        <f t="shared" si="9"/>
        <v>0</v>
      </c>
      <c r="I76" s="465">
        <f t="shared" si="10"/>
        <v>0</v>
      </c>
      <c r="J76" s="1147">
        <v>63700</v>
      </c>
      <c r="K76" s="424"/>
      <c r="L76" s="1153">
        <v>65200</v>
      </c>
      <c r="M76" s="1149">
        <f t="shared" si="11"/>
        <v>1500</v>
      </c>
      <c r="N76" s="465">
        <f t="shared" si="12"/>
        <v>65200</v>
      </c>
      <c r="O76" s="1689"/>
      <c r="P76" s="324"/>
      <c r="Q76" s="329"/>
    </row>
    <row r="77" spans="1:17" ht="45">
      <c r="A77" s="323">
        <v>76</v>
      </c>
      <c r="B77" s="460">
        <v>2.7</v>
      </c>
      <c r="C77" s="461" t="s">
        <v>361</v>
      </c>
      <c r="D77" s="462" t="s">
        <v>154</v>
      </c>
      <c r="E77" s="1147">
        <v>14000</v>
      </c>
      <c r="F77" s="463"/>
      <c r="G77" s="1150">
        <v>14000</v>
      </c>
      <c r="H77" s="1149">
        <f t="shared" si="9"/>
        <v>0</v>
      </c>
      <c r="I77" s="465">
        <f t="shared" si="10"/>
        <v>0</v>
      </c>
      <c r="J77" s="1147">
        <v>55500</v>
      </c>
      <c r="K77" s="424"/>
      <c r="L77" s="1153">
        <v>57000</v>
      </c>
      <c r="M77" s="1149">
        <f t="shared" si="11"/>
        <v>1500</v>
      </c>
      <c r="N77" s="465">
        <f t="shared" si="12"/>
        <v>57000</v>
      </c>
      <c r="O77" s="1689"/>
      <c r="P77" s="324"/>
      <c r="Q77" s="329"/>
    </row>
    <row r="78" spans="1:17" ht="157.5">
      <c r="A78" s="323">
        <v>77</v>
      </c>
      <c r="B78" s="460">
        <v>2.8</v>
      </c>
      <c r="C78" s="461" t="s">
        <v>362</v>
      </c>
      <c r="D78" s="462" t="s">
        <v>155</v>
      </c>
      <c r="E78" s="1147">
        <v>14000</v>
      </c>
      <c r="F78" s="463"/>
      <c r="G78" s="1150">
        <v>14000</v>
      </c>
      <c r="H78" s="1149">
        <f t="shared" si="9"/>
        <v>0</v>
      </c>
      <c r="I78" s="465">
        <f t="shared" si="10"/>
        <v>0</v>
      </c>
      <c r="J78" s="1147">
        <v>44300</v>
      </c>
      <c r="K78" s="424"/>
      <c r="L78" s="1153">
        <v>45800</v>
      </c>
      <c r="M78" s="1149">
        <f t="shared" si="11"/>
        <v>1500</v>
      </c>
      <c r="N78" s="465">
        <f t="shared" si="12"/>
        <v>45800</v>
      </c>
      <c r="O78" s="1689"/>
      <c r="P78" s="324"/>
      <c r="Q78" s="329"/>
    </row>
    <row r="79" spans="1:17" ht="180">
      <c r="A79" s="323">
        <v>78</v>
      </c>
      <c r="B79" s="460">
        <v>2.9</v>
      </c>
      <c r="C79" s="461" t="s">
        <v>363</v>
      </c>
      <c r="D79" s="462" t="s">
        <v>483</v>
      </c>
      <c r="E79" s="1147">
        <v>14000</v>
      </c>
      <c r="F79" s="463"/>
      <c r="G79" s="1150">
        <v>14000</v>
      </c>
      <c r="H79" s="1149">
        <f t="shared" si="9"/>
        <v>0</v>
      </c>
      <c r="I79" s="465">
        <f t="shared" si="10"/>
        <v>0</v>
      </c>
      <c r="J79" s="1147">
        <v>34200</v>
      </c>
      <c r="K79" s="424"/>
      <c r="L79" s="1153">
        <v>35500</v>
      </c>
      <c r="M79" s="1149">
        <f t="shared" si="11"/>
        <v>1300</v>
      </c>
      <c r="N79" s="465">
        <f t="shared" si="12"/>
        <v>35500</v>
      </c>
      <c r="O79" s="1689"/>
      <c r="P79" s="324"/>
      <c r="Q79" s="329"/>
    </row>
    <row r="80" spans="1:17">
      <c r="A80" s="323">
        <v>79</v>
      </c>
      <c r="B80" s="460">
        <v>2.1</v>
      </c>
      <c r="C80" s="467" t="s">
        <v>588</v>
      </c>
      <c r="D80" s="387" t="s">
        <v>484</v>
      </c>
      <c r="E80" s="1147">
        <v>14000</v>
      </c>
      <c r="F80" s="463"/>
      <c r="G80" s="1150">
        <v>14000</v>
      </c>
      <c r="H80" s="1149">
        <f>IF(E80=0,0,G80-E80)</f>
        <v>0</v>
      </c>
      <c r="I80" s="465">
        <f>IF(E80+H80=E80,0,E80+H80)</f>
        <v>0</v>
      </c>
      <c r="J80" s="1147">
        <v>26000</v>
      </c>
      <c r="K80" s="424"/>
      <c r="L80" s="1153">
        <v>27500</v>
      </c>
      <c r="M80" s="1149">
        <f t="shared" si="11"/>
        <v>1500</v>
      </c>
      <c r="N80" s="465">
        <f t="shared" si="12"/>
        <v>27500</v>
      </c>
      <c r="O80" s="1690"/>
      <c r="P80" s="324"/>
      <c r="Q80" s="329"/>
    </row>
    <row r="81" spans="2:17">
      <c r="B81" s="945" t="s">
        <v>341</v>
      </c>
      <c r="C81" s="946" t="s">
        <v>342</v>
      </c>
      <c r="D81" s="947"/>
      <c r="E81" s="948"/>
      <c r="F81" s="948"/>
      <c r="G81" s="948"/>
      <c r="H81" s="1146"/>
      <c r="I81" s="950"/>
      <c r="J81" s="951"/>
      <c r="K81" s="952"/>
      <c r="L81" s="952"/>
      <c r="M81" s="953"/>
      <c r="N81" s="953"/>
      <c r="O81" s="951"/>
      <c r="P81" s="324"/>
      <c r="Q81" s="329"/>
    </row>
    <row r="82" spans="2:17" ht="78.75">
      <c r="B82" s="954"/>
      <c r="C82" s="946" t="s">
        <v>343</v>
      </c>
      <c r="D82" s="947"/>
      <c r="E82" s="955" t="s">
        <v>513</v>
      </c>
      <c r="F82" s="955" t="s">
        <v>514</v>
      </c>
      <c r="G82" s="955" t="s">
        <v>515</v>
      </c>
      <c r="H82" s="955" t="s">
        <v>516</v>
      </c>
      <c r="I82" s="956" t="s">
        <v>517</v>
      </c>
      <c r="J82" s="951"/>
      <c r="K82" s="952"/>
      <c r="L82" s="952"/>
      <c r="M82" s="953"/>
      <c r="N82" s="953"/>
      <c r="O82" s="951"/>
      <c r="P82" s="324"/>
      <c r="Q82" s="329"/>
    </row>
    <row r="83" spans="2:17" ht="11.25" customHeight="1">
      <c r="B83" s="449"/>
      <c r="C83" s="480" t="s">
        <v>346</v>
      </c>
      <c r="D83" s="387" t="s">
        <v>182</v>
      </c>
      <c r="E83" s="1148">
        <v>21000</v>
      </c>
      <c r="F83" s="1154"/>
      <c r="G83" s="1155">
        <v>22000</v>
      </c>
      <c r="H83" s="1146">
        <f>IF(E83=0,0,G83-E83)</f>
        <v>1000</v>
      </c>
      <c r="I83" s="1156">
        <f>IF(E83+H83=E83,0,E83+H83)</f>
        <v>22000</v>
      </c>
      <c r="K83" s="484"/>
      <c r="L83" s="484"/>
      <c r="M83" s="389"/>
      <c r="N83" s="485"/>
      <c r="O83" s="1685" t="s">
        <v>365</v>
      </c>
      <c r="P83" s="324"/>
      <c r="Q83" s="329"/>
    </row>
    <row r="84" spans="2:17">
      <c r="B84" s="449"/>
      <c r="C84" s="486" t="s">
        <v>344</v>
      </c>
      <c r="D84" s="487" t="s">
        <v>186</v>
      </c>
      <c r="E84" s="1148">
        <v>22550</v>
      </c>
      <c r="F84" s="1154"/>
      <c r="G84" s="1155">
        <v>23750</v>
      </c>
      <c r="H84" s="1146">
        <f t="shared" ref="H84:H92" si="13">IF(E84=0,0,G84-E84)</f>
        <v>1200</v>
      </c>
      <c r="I84" s="1156">
        <f t="shared" ref="I84:I92" si="14">IF(E84+H84=E84,0,E84+H84)</f>
        <v>23750</v>
      </c>
      <c r="K84" s="484"/>
      <c r="L84" s="484"/>
      <c r="M84" s="389"/>
      <c r="N84" s="488"/>
      <c r="O84" s="1686"/>
      <c r="P84" s="324"/>
      <c r="Q84" s="329"/>
    </row>
    <row r="85" spans="2:17">
      <c r="B85" s="449"/>
      <c r="C85" s="486" t="s">
        <v>347</v>
      </c>
      <c r="D85" s="487" t="s">
        <v>189</v>
      </c>
      <c r="E85" s="1148">
        <v>23800</v>
      </c>
      <c r="F85" s="1154"/>
      <c r="G85" s="1155">
        <v>25000</v>
      </c>
      <c r="H85" s="1146">
        <f t="shared" si="13"/>
        <v>1200</v>
      </c>
      <c r="I85" s="1156">
        <f t="shared" si="14"/>
        <v>25000</v>
      </c>
      <c r="K85" s="484"/>
      <c r="L85" s="484"/>
      <c r="M85" s="389"/>
      <c r="N85" s="488"/>
      <c r="O85" s="1686"/>
      <c r="P85" s="324"/>
      <c r="Q85" s="329"/>
    </row>
    <row r="86" spans="2:17">
      <c r="B86" s="449"/>
      <c r="C86" s="480" t="s">
        <v>345</v>
      </c>
      <c r="D86" s="487" t="s">
        <v>489</v>
      </c>
      <c r="E86" s="1148">
        <v>24450</v>
      </c>
      <c r="F86" s="1154"/>
      <c r="G86" s="1155">
        <v>25650</v>
      </c>
      <c r="H86" s="1146">
        <f t="shared" si="13"/>
        <v>1200</v>
      </c>
      <c r="I86" s="1156">
        <f t="shared" si="14"/>
        <v>25650</v>
      </c>
      <c r="K86" s="484"/>
      <c r="L86" s="484"/>
      <c r="M86" s="389"/>
      <c r="N86" s="488"/>
      <c r="O86" s="1686"/>
      <c r="P86" s="324"/>
      <c r="Q86" s="329"/>
    </row>
    <row r="87" spans="2:17" ht="22.5">
      <c r="B87" s="449"/>
      <c r="C87" s="486" t="s">
        <v>348</v>
      </c>
      <c r="D87" s="487" t="s">
        <v>490</v>
      </c>
      <c r="E87" s="1148">
        <v>25600</v>
      </c>
      <c r="F87" s="1154"/>
      <c r="G87" s="1155">
        <v>26800</v>
      </c>
      <c r="H87" s="1146">
        <f t="shared" si="13"/>
        <v>1200</v>
      </c>
      <c r="I87" s="1156">
        <f t="shared" si="14"/>
        <v>26800</v>
      </c>
      <c r="K87" s="484"/>
      <c r="L87" s="484"/>
      <c r="M87" s="389"/>
      <c r="N87" s="488"/>
      <c r="O87" s="1686"/>
      <c r="P87" s="324"/>
      <c r="Q87" s="329"/>
    </row>
    <row r="88" spans="2:17" ht="33.75">
      <c r="B88" s="449"/>
      <c r="C88" s="486" t="s">
        <v>349</v>
      </c>
      <c r="D88" s="487" t="s">
        <v>491</v>
      </c>
      <c r="E88" s="1148">
        <v>27700</v>
      </c>
      <c r="F88" s="1154"/>
      <c r="G88" s="1155">
        <v>28900</v>
      </c>
      <c r="H88" s="1146">
        <f t="shared" si="13"/>
        <v>1200</v>
      </c>
      <c r="I88" s="1156">
        <f t="shared" si="14"/>
        <v>28900</v>
      </c>
      <c r="K88" s="484"/>
      <c r="L88" s="484"/>
      <c r="M88" s="389"/>
      <c r="N88" s="488"/>
      <c r="O88" s="1686"/>
      <c r="P88" s="324"/>
      <c r="Q88" s="329"/>
    </row>
    <row r="89" spans="2:17" ht="33.75">
      <c r="B89" s="449"/>
      <c r="C89" s="486" t="s">
        <v>350</v>
      </c>
      <c r="D89" s="487" t="s">
        <v>492</v>
      </c>
      <c r="E89" s="1148">
        <v>29300</v>
      </c>
      <c r="F89" s="1154"/>
      <c r="G89" s="1155">
        <v>30500</v>
      </c>
      <c r="H89" s="1146">
        <f t="shared" si="13"/>
        <v>1200</v>
      </c>
      <c r="I89" s="1156">
        <f t="shared" si="14"/>
        <v>30500</v>
      </c>
      <c r="K89" s="484"/>
      <c r="L89" s="484"/>
      <c r="M89" s="389"/>
      <c r="N89" s="488"/>
      <c r="O89" s="1686"/>
      <c r="P89" s="324"/>
      <c r="Q89" s="329"/>
    </row>
    <row r="90" spans="2:17" ht="45">
      <c r="B90" s="449"/>
      <c r="C90" s="486" t="s">
        <v>351</v>
      </c>
      <c r="D90" s="487" t="s">
        <v>599</v>
      </c>
      <c r="E90" s="1148">
        <v>32400</v>
      </c>
      <c r="F90" s="1154"/>
      <c r="G90" s="1155">
        <v>33600</v>
      </c>
      <c r="H90" s="1146">
        <f t="shared" si="13"/>
        <v>1200</v>
      </c>
      <c r="I90" s="1156">
        <f t="shared" si="14"/>
        <v>33600</v>
      </c>
      <c r="K90" s="484"/>
      <c r="L90" s="484"/>
      <c r="M90" s="389"/>
      <c r="N90" s="488"/>
      <c r="O90" s="1686"/>
      <c r="P90" s="324"/>
      <c r="Q90" s="329"/>
    </row>
    <row r="91" spans="2:17" ht="22.5">
      <c r="B91" s="449"/>
      <c r="C91" s="480" t="s">
        <v>352</v>
      </c>
      <c r="D91" s="487" t="s">
        <v>493</v>
      </c>
      <c r="E91" s="1148">
        <v>35500</v>
      </c>
      <c r="F91" s="1154"/>
      <c r="G91" s="1155">
        <v>36500</v>
      </c>
      <c r="H91" s="1146">
        <f t="shared" si="13"/>
        <v>1000</v>
      </c>
      <c r="I91" s="1156">
        <f t="shared" si="14"/>
        <v>36500</v>
      </c>
      <c r="K91" s="484"/>
      <c r="L91" s="484"/>
      <c r="M91" s="389"/>
      <c r="N91" s="488"/>
      <c r="O91" s="1686"/>
      <c r="P91" s="324"/>
      <c r="Q91" s="329"/>
    </row>
    <row r="92" spans="2:17" ht="22.5">
      <c r="B92" s="449"/>
      <c r="C92" s="490" t="s">
        <v>353</v>
      </c>
      <c r="D92" s="487" t="s">
        <v>494</v>
      </c>
      <c r="E92" s="1148">
        <v>37500</v>
      </c>
      <c r="F92" s="1154"/>
      <c r="G92" s="1155">
        <v>38000</v>
      </c>
      <c r="H92" s="1146">
        <f t="shared" si="13"/>
        <v>500</v>
      </c>
      <c r="I92" s="1156">
        <f t="shared" si="14"/>
        <v>38000</v>
      </c>
      <c r="K92" s="484"/>
      <c r="L92" s="484"/>
      <c r="M92" s="389"/>
      <c r="N92" s="491"/>
      <c r="O92" s="1686"/>
      <c r="P92" s="324"/>
      <c r="Q92" s="329"/>
    </row>
    <row r="93" spans="2:17">
      <c r="B93" s="945" t="s">
        <v>341</v>
      </c>
      <c r="C93" s="946" t="s">
        <v>355</v>
      </c>
      <c r="D93" s="387"/>
      <c r="E93" s="375"/>
      <c r="F93" s="463"/>
      <c r="G93" s="463"/>
      <c r="H93" s="464"/>
      <c r="I93" s="465"/>
      <c r="J93" s="377"/>
      <c r="K93" s="424"/>
      <c r="L93" s="424"/>
      <c r="M93" s="419"/>
      <c r="N93" s="466"/>
      <c r="O93" s="1686"/>
      <c r="P93" s="324"/>
      <c r="Q93" s="329"/>
    </row>
    <row r="94" spans="2:17" ht="67.5">
      <c r="B94" s="460"/>
      <c r="C94" s="946" t="s">
        <v>354</v>
      </c>
      <c r="D94" s="387"/>
      <c r="E94" s="375"/>
      <c r="F94" s="463"/>
      <c r="G94" s="463"/>
      <c r="H94" s="464"/>
      <c r="I94" s="465"/>
      <c r="J94" s="377"/>
      <c r="K94" s="424"/>
      <c r="L94" s="424"/>
      <c r="M94" s="419"/>
      <c r="N94" s="466"/>
      <c r="O94" s="1686"/>
      <c r="P94" s="324"/>
      <c r="Q94" s="329"/>
    </row>
    <row r="95" spans="2:17">
      <c r="B95" s="449"/>
      <c r="C95" s="480"/>
      <c r="D95" s="387" t="s">
        <v>182</v>
      </c>
      <c r="E95" s="1148">
        <v>20200</v>
      </c>
      <c r="F95" s="957"/>
      <c r="G95" s="948">
        <v>22000</v>
      </c>
      <c r="H95" s="1146">
        <f t="shared" ref="H95:H108" si="15">IF(E95=0,0,G95-E95)</f>
        <v>1800</v>
      </c>
      <c r="I95" s="958">
        <f t="shared" ref="I95:I108" si="16">IF(E95+H95=E95,0,E95+H95)</f>
        <v>22000</v>
      </c>
      <c r="K95" s="484"/>
      <c r="L95" s="484"/>
      <c r="M95" s="389"/>
      <c r="N95" s="485"/>
      <c r="O95" s="1686"/>
      <c r="P95" s="324"/>
      <c r="Q95" s="329"/>
    </row>
    <row r="96" spans="2:17">
      <c r="B96" s="449"/>
      <c r="C96" s="486"/>
      <c r="D96" s="487" t="s">
        <v>186</v>
      </c>
      <c r="E96" s="1148">
        <v>22000</v>
      </c>
      <c r="F96" s="957"/>
      <c r="G96" s="948">
        <v>23750</v>
      </c>
      <c r="H96" s="1146">
        <f t="shared" si="15"/>
        <v>1750</v>
      </c>
      <c r="I96" s="958">
        <f t="shared" si="16"/>
        <v>23750</v>
      </c>
      <c r="K96" s="484"/>
      <c r="L96" s="484"/>
      <c r="M96" s="389"/>
      <c r="N96" s="488"/>
      <c r="O96" s="1686"/>
      <c r="P96" s="324"/>
      <c r="Q96" s="329"/>
    </row>
    <row r="97" spans="1:17">
      <c r="B97" s="449"/>
      <c r="C97" s="486"/>
      <c r="D97" s="487" t="s">
        <v>189</v>
      </c>
      <c r="E97" s="1148">
        <v>23280</v>
      </c>
      <c r="F97" s="957"/>
      <c r="G97" s="948">
        <v>25000</v>
      </c>
      <c r="H97" s="1146">
        <f t="shared" si="15"/>
        <v>1720</v>
      </c>
      <c r="I97" s="958">
        <f t="shared" si="16"/>
        <v>25000</v>
      </c>
      <c r="K97" s="484"/>
      <c r="L97" s="484"/>
      <c r="M97" s="389"/>
      <c r="N97" s="488"/>
      <c r="O97" s="1686"/>
      <c r="P97" s="324"/>
      <c r="Q97" s="329"/>
    </row>
    <row r="98" spans="1:17">
      <c r="B98" s="449"/>
      <c r="C98" s="480"/>
      <c r="D98" s="487" t="s">
        <v>489</v>
      </c>
      <c r="E98" s="1148">
        <v>23900</v>
      </c>
      <c r="F98" s="957"/>
      <c r="G98" s="948">
        <v>25650</v>
      </c>
      <c r="H98" s="1146">
        <f t="shared" si="15"/>
        <v>1750</v>
      </c>
      <c r="I98" s="958">
        <f t="shared" si="16"/>
        <v>25650</v>
      </c>
      <c r="K98" s="484"/>
      <c r="L98" s="484"/>
      <c r="M98" s="389"/>
      <c r="N98" s="488"/>
      <c r="O98" s="1686"/>
      <c r="P98" s="324"/>
      <c r="Q98" s="329"/>
    </row>
    <row r="99" spans="1:17">
      <c r="B99" s="449"/>
      <c r="C99" s="486"/>
      <c r="D99" s="487" t="s">
        <v>490</v>
      </c>
      <c r="E99" s="1148">
        <v>25100</v>
      </c>
      <c r="F99" s="957"/>
      <c r="G99" s="948">
        <v>26800</v>
      </c>
      <c r="H99" s="1146">
        <f t="shared" si="15"/>
        <v>1700</v>
      </c>
      <c r="I99" s="958">
        <f t="shared" si="16"/>
        <v>26800</v>
      </c>
      <c r="K99" s="484"/>
      <c r="L99" s="484"/>
      <c r="M99" s="389"/>
      <c r="N99" s="488"/>
      <c r="O99" s="1686"/>
      <c r="P99" s="324"/>
      <c r="Q99" s="329"/>
    </row>
    <row r="100" spans="1:17">
      <c r="B100" s="449"/>
      <c r="C100" s="486"/>
      <c r="D100" s="487" t="s">
        <v>491</v>
      </c>
      <c r="E100" s="1148">
        <v>26100</v>
      </c>
      <c r="F100" s="957"/>
      <c r="G100" s="948">
        <v>27800</v>
      </c>
      <c r="H100" s="1146">
        <f t="shared" si="15"/>
        <v>1700</v>
      </c>
      <c r="I100" s="958">
        <f t="shared" si="16"/>
        <v>27800</v>
      </c>
      <c r="K100" s="484"/>
      <c r="L100" s="484"/>
      <c r="M100" s="389"/>
      <c r="N100" s="488"/>
      <c r="O100" s="1686"/>
      <c r="P100" s="324"/>
      <c r="Q100" s="329"/>
    </row>
    <row r="101" spans="1:17">
      <c r="B101" s="449"/>
      <c r="C101" s="486"/>
      <c r="D101" s="487" t="s">
        <v>492</v>
      </c>
      <c r="E101" s="1148">
        <v>26700</v>
      </c>
      <c r="F101" s="957"/>
      <c r="G101" s="948">
        <v>28400</v>
      </c>
      <c r="H101" s="1146">
        <f t="shared" si="15"/>
        <v>1700</v>
      </c>
      <c r="I101" s="958">
        <f t="shared" si="16"/>
        <v>28400</v>
      </c>
      <c r="K101" s="484"/>
      <c r="L101" s="484"/>
      <c r="M101" s="389"/>
      <c r="N101" s="488"/>
      <c r="O101" s="1686"/>
      <c r="P101" s="324"/>
      <c r="Q101" s="329"/>
    </row>
    <row r="102" spans="1:17">
      <c r="B102" s="449"/>
      <c r="C102" s="486"/>
      <c r="D102" s="487" t="s">
        <v>599</v>
      </c>
      <c r="E102" s="1148">
        <v>27100</v>
      </c>
      <c r="F102" s="957"/>
      <c r="G102" s="948">
        <v>29200</v>
      </c>
      <c r="H102" s="1146">
        <f t="shared" si="15"/>
        <v>2100</v>
      </c>
      <c r="I102" s="958">
        <f t="shared" si="16"/>
        <v>29200</v>
      </c>
      <c r="K102" s="484"/>
      <c r="L102" s="484"/>
      <c r="M102" s="389"/>
      <c r="N102" s="488"/>
      <c r="O102" s="1686"/>
      <c r="P102" s="324"/>
      <c r="Q102" s="329"/>
    </row>
    <row r="103" spans="1:17">
      <c r="B103" s="449"/>
      <c r="C103" s="480"/>
      <c r="D103" s="487" t="s">
        <v>493</v>
      </c>
      <c r="E103" s="1148">
        <v>28700</v>
      </c>
      <c r="F103" s="957"/>
      <c r="G103" s="948">
        <v>30200</v>
      </c>
      <c r="H103" s="1146">
        <f t="shared" si="15"/>
        <v>1500</v>
      </c>
      <c r="I103" s="958">
        <f t="shared" si="16"/>
        <v>30200</v>
      </c>
      <c r="K103" s="484"/>
      <c r="L103" s="484"/>
      <c r="M103" s="389"/>
      <c r="N103" s="488"/>
      <c r="O103" s="1686"/>
      <c r="P103" s="324"/>
      <c r="Q103" s="329"/>
    </row>
    <row r="104" spans="1:17">
      <c r="B104" s="449"/>
      <c r="C104" s="490"/>
      <c r="D104" s="487" t="s">
        <v>494</v>
      </c>
      <c r="E104" s="1148">
        <v>30000</v>
      </c>
      <c r="F104" s="957"/>
      <c r="G104" s="948">
        <v>31700</v>
      </c>
      <c r="H104" s="1146">
        <f t="shared" si="15"/>
        <v>1700</v>
      </c>
      <c r="I104" s="958">
        <f t="shared" si="16"/>
        <v>31700</v>
      </c>
      <c r="K104" s="484"/>
      <c r="L104" s="484"/>
      <c r="M104" s="389"/>
      <c r="N104" s="491"/>
      <c r="O104" s="1686"/>
      <c r="P104" s="324"/>
      <c r="Q104" s="329"/>
    </row>
    <row r="105" spans="1:17">
      <c r="B105" s="449"/>
      <c r="C105" s="480"/>
      <c r="D105" s="387" t="s">
        <v>495</v>
      </c>
      <c r="E105" s="1148">
        <v>31000</v>
      </c>
      <c r="F105" s="957"/>
      <c r="G105" s="948">
        <v>32000</v>
      </c>
      <c r="H105" s="1146">
        <f t="shared" si="15"/>
        <v>1000</v>
      </c>
      <c r="I105" s="958">
        <f t="shared" si="16"/>
        <v>32000</v>
      </c>
      <c r="K105" s="484"/>
      <c r="L105" s="484"/>
      <c r="M105" s="389"/>
      <c r="N105" s="485"/>
      <c r="O105" s="1686"/>
      <c r="P105" s="324"/>
      <c r="Q105" s="329"/>
    </row>
    <row r="106" spans="1:17">
      <c r="B106" s="449"/>
      <c r="C106" s="486"/>
      <c r="D106" s="487" t="s">
        <v>496</v>
      </c>
      <c r="E106" s="1148">
        <v>32500</v>
      </c>
      <c r="F106" s="957"/>
      <c r="G106" s="948">
        <v>34000</v>
      </c>
      <c r="H106" s="1146">
        <f t="shared" si="15"/>
        <v>1500</v>
      </c>
      <c r="I106" s="958">
        <f t="shared" si="16"/>
        <v>34000</v>
      </c>
      <c r="K106" s="484"/>
      <c r="L106" s="484"/>
      <c r="M106" s="389"/>
      <c r="N106" s="488"/>
      <c r="O106" s="1686"/>
      <c r="P106" s="324"/>
      <c r="Q106" s="329"/>
    </row>
    <row r="107" spans="1:17">
      <c r="B107" s="449"/>
      <c r="C107" s="486"/>
      <c r="D107" s="487" t="s">
        <v>497</v>
      </c>
      <c r="E107" s="1148">
        <v>34000</v>
      </c>
      <c r="F107" s="957"/>
      <c r="G107" s="948">
        <v>35000</v>
      </c>
      <c r="H107" s="1146">
        <f t="shared" si="15"/>
        <v>1000</v>
      </c>
      <c r="I107" s="958">
        <f t="shared" si="16"/>
        <v>35000</v>
      </c>
      <c r="K107" s="484"/>
      <c r="L107" s="484"/>
      <c r="M107" s="389"/>
      <c r="N107" s="488"/>
      <c r="O107" s="1686"/>
      <c r="P107" s="324"/>
      <c r="Q107" s="329"/>
    </row>
    <row r="108" spans="1:17">
      <c r="B108" s="449"/>
      <c r="C108" s="480"/>
      <c r="D108" s="487" t="s">
        <v>499</v>
      </c>
      <c r="E108" s="1148">
        <v>36000</v>
      </c>
      <c r="F108" s="957"/>
      <c r="G108" s="948">
        <v>36500</v>
      </c>
      <c r="H108" s="1146">
        <f t="shared" si="15"/>
        <v>500</v>
      </c>
      <c r="I108" s="958">
        <f t="shared" si="16"/>
        <v>36500</v>
      </c>
      <c r="K108" s="484"/>
      <c r="L108" s="484"/>
      <c r="M108" s="389"/>
      <c r="N108" s="488"/>
      <c r="O108" s="1687"/>
      <c r="P108" s="324"/>
      <c r="Q108" s="329"/>
    </row>
    <row r="109" spans="1:17">
      <c r="A109" s="323">
        <v>80</v>
      </c>
      <c r="B109" s="468" t="s">
        <v>589</v>
      </c>
      <c r="C109" s="469" t="s">
        <v>590</v>
      </c>
      <c r="D109" s="470"/>
      <c r="E109" s="471"/>
      <c r="F109" s="471"/>
      <c r="G109" s="471"/>
      <c r="H109" s="472"/>
      <c r="I109" s="473"/>
      <c r="J109" s="474"/>
      <c r="K109" s="475"/>
      <c r="L109" s="475"/>
      <c r="M109" s="476"/>
      <c r="N109" s="476"/>
      <c r="O109" s="474"/>
      <c r="P109" s="324"/>
      <c r="Q109" s="329"/>
    </row>
    <row r="110" spans="1:17" ht="56.25">
      <c r="A110" s="323">
        <v>81</v>
      </c>
      <c r="B110" s="477"/>
      <c r="C110" s="469" t="s">
        <v>591</v>
      </c>
      <c r="D110" s="470"/>
      <c r="E110" s="478" t="s">
        <v>513</v>
      </c>
      <c r="F110" s="478" t="s">
        <v>514</v>
      </c>
      <c r="G110" s="478" t="s">
        <v>515</v>
      </c>
      <c r="H110" s="478" t="s">
        <v>516</v>
      </c>
      <c r="I110" s="479" t="s">
        <v>517</v>
      </c>
      <c r="J110" s="474"/>
      <c r="K110" s="475"/>
      <c r="L110" s="475"/>
      <c r="M110" s="476"/>
      <c r="N110" s="476"/>
      <c r="O110" s="474"/>
      <c r="P110" s="324"/>
      <c r="Q110" s="329"/>
    </row>
    <row r="111" spans="1:17" ht="22.5">
      <c r="A111" s="323">
        <v>82</v>
      </c>
      <c r="B111" s="449"/>
      <c r="C111" s="480" t="s">
        <v>592</v>
      </c>
      <c r="D111" s="387" t="s">
        <v>182</v>
      </c>
      <c r="E111" s="481"/>
      <c r="F111" s="482"/>
      <c r="G111" s="481"/>
      <c r="H111" s="483">
        <f>IF(E111+(F111*E111+G111)=E111,0,G111+F111*E111)</f>
        <v>0</v>
      </c>
      <c r="I111" s="421">
        <f>IF(E111+H111=E111,0,E111+H111)</f>
        <v>0</v>
      </c>
      <c r="K111" s="484"/>
      <c r="L111" s="484"/>
      <c r="M111" s="389"/>
      <c r="N111" s="485"/>
      <c r="O111" s="1679"/>
      <c r="P111" s="324"/>
      <c r="Q111" s="329"/>
    </row>
    <row r="112" spans="1:17">
      <c r="A112" s="323">
        <v>83</v>
      </c>
      <c r="B112" s="449"/>
      <c r="C112" s="486" t="s">
        <v>593</v>
      </c>
      <c r="D112" s="487" t="s">
        <v>186</v>
      </c>
      <c r="E112" s="481"/>
      <c r="F112" s="482"/>
      <c r="G112" s="481"/>
      <c r="H112" s="483">
        <f t="shared" ref="H112:H120" si="17">IF(E112+(F112*E112+G112)=E112,0,G112+F112*E112)</f>
        <v>0</v>
      </c>
      <c r="I112" s="421">
        <f t="shared" ref="I112:I120" si="18">IF(E112+H112=E112,0,E112+H112)</f>
        <v>0</v>
      </c>
      <c r="K112" s="484"/>
      <c r="L112" s="484"/>
      <c r="M112" s="389"/>
      <c r="N112" s="488"/>
      <c r="O112" s="1680"/>
      <c r="P112" s="324"/>
      <c r="Q112" s="329"/>
    </row>
    <row r="113" spans="1:17">
      <c r="A113" s="323">
        <v>84</v>
      </c>
      <c r="B113" s="449"/>
      <c r="C113" s="486" t="s">
        <v>594</v>
      </c>
      <c r="D113" s="487" t="s">
        <v>189</v>
      </c>
      <c r="E113" s="481"/>
      <c r="F113" s="482"/>
      <c r="G113" s="481"/>
      <c r="H113" s="483">
        <f t="shared" si="17"/>
        <v>0</v>
      </c>
      <c r="I113" s="421">
        <f t="shared" si="18"/>
        <v>0</v>
      </c>
      <c r="K113" s="484"/>
      <c r="L113" s="484"/>
      <c r="M113" s="389"/>
      <c r="N113" s="488"/>
      <c r="O113" s="1680"/>
      <c r="P113" s="324"/>
      <c r="Q113" s="329"/>
    </row>
    <row r="114" spans="1:17" ht="33.75">
      <c r="A114" s="323">
        <v>85</v>
      </c>
      <c r="B114" s="449"/>
      <c r="C114" s="480" t="s">
        <v>595</v>
      </c>
      <c r="D114" s="487" t="s">
        <v>489</v>
      </c>
      <c r="E114" s="481"/>
      <c r="F114" s="482"/>
      <c r="G114" s="481"/>
      <c r="H114" s="483">
        <f t="shared" si="17"/>
        <v>0</v>
      </c>
      <c r="I114" s="421">
        <f t="shared" si="18"/>
        <v>0</v>
      </c>
      <c r="K114" s="484"/>
      <c r="L114" s="484"/>
      <c r="M114" s="389"/>
      <c r="N114" s="488"/>
      <c r="O114" s="1680"/>
      <c r="P114" s="324"/>
      <c r="Q114" s="329"/>
    </row>
    <row r="115" spans="1:17" ht="22.5">
      <c r="A115" s="323">
        <v>86</v>
      </c>
      <c r="B115" s="449"/>
      <c r="C115" s="486" t="s">
        <v>596</v>
      </c>
      <c r="D115" s="487" t="s">
        <v>490</v>
      </c>
      <c r="E115" s="481"/>
      <c r="F115" s="482"/>
      <c r="G115" s="481"/>
      <c r="H115" s="483">
        <f t="shared" si="17"/>
        <v>0</v>
      </c>
      <c r="I115" s="421">
        <f t="shared" si="18"/>
        <v>0</v>
      </c>
      <c r="K115" s="484"/>
      <c r="L115" s="484"/>
      <c r="M115" s="389"/>
      <c r="N115" s="488"/>
      <c r="O115" s="1680"/>
      <c r="P115" s="324"/>
      <c r="Q115" s="329"/>
    </row>
    <row r="116" spans="1:17" ht="22.5">
      <c r="A116" s="323">
        <v>87</v>
      </c>
      <c r="B116" s="449"/>
      <c r="C116" s="486" t="s">
        <v>597</v>
      </c>
      <c r="D116" s="487" t="s">
        <v>491</v>
      </c>
      <c r="E116" s="481"/>
      <c r="F116" s="482"/>
      <c r="G116" s="481"/>
      <c r="H116" s="483">
        <f t="shared" si="17"/>
        <v>0</v>
      </c>
      <c r="I116" s="421">
        <f t="shared" si="18"/>
        <v>0</v>
      </c>
      <c r="K116" s="484"/>
      <c r="L116" s="484"/>
      <c r="M116" s="389"/>
      <c r="N116" s="488"/>
      <c r="O116" s="1680"/>
      <c r="P116" s="324"/>
      <c r="Q116" s="329"/>
    </row>
    <row r="117" spans="1:17" ht="22.5">
      <c r="A117" s="323">
        <v>88</v>
      </c>
      <c r="B117" s="449"/>
      <c r="C117" s="486" t="s">
        <v>598</v>
      </c>
      <c r="D117" s="487" t="s">
        <v>492</v>
      </c>
      <c r="E117" s="481"/>
      <c r="F117" s="482"/>
      <c r="G117" s="481"/>
      <c r="H117" s="483">
        <f t="shared" si="17"/>
        <v>0</v>
      </c>
      <c r="I117" s="421">
        <f t="shared" si="18"/>
        <v>0</v>
      </c>
      <c r="K117" s="484"/>
      <c r="L117" s="484"/>
      <c r="M117" s="389"/>
      <c r="N117" s="488"/>
      <c r="O117" s="1680"/>
      <c r="P117" s="324"/>
      <c r="Q117" s="329"/>
    </row>
    <row r="118" spans="1:17">
      <c r="A118" s="323">
        <v>89</v>
      </c>
      <c r="B118" s="449"/>
      <c r="C118" s="489"/>
      <c r="D118" s="487" t="s">
        <v>599</v>
      </c>
      <c r="E118" s="481"/>
      <c r="F118" s="482"/>
      <c r="G118" s="481"/>
      <c r="H118" s="483">
        <f t="shared" si="17"/>
        <v>0</v>
      </c>
      <c r="I118" s="421">
        <f t="shared" si="18"/>
        <v>0</v>
      </c>
      <c r="K118" s="484"/>
      <c r="L118" s="484"/>
      <c r="M118" s="389"/>
      <c r="N118" s="488"/>
      <c r="O118" s="1680"/>
      <c r="P118" s="324"/>
      <c r="Q118" s="329"/>
    </row>
    <row r="119" spans="1:17">
      <c r="A119" s="323">
        <v>90</v>
      </c>
      <c r="B119" s="449"/>
      <c r="C119" s="480" t="s">
        <v>600</v>
      </c>
      <c r="D119" s="487" t="s">
        <v>493</v>
      </c>
      <c r="E119" s="481"/>
      <c r="F119" s="482"/>
      <c r="G119" s="481"/>
      <c r="H119" s="483">
        <f t="shared" si="17"/>
        <v>0</v>
      </c>
      <c r="I119" s="421">
        <f t="shared" si="18"/>
        <v>0</v>
      </c>
      <c r="K119" s="484"/>
      <c r="L119" s="484"/>
      <c r="M119" s="389"/>
      <c r="N119" s="488"/>
      <c r="O119" s="1680"/>
      <c r="P119" s="324"/>
      <c r="Q119" s="329"/>
    </row>
    <row r="120" spans="1:17" ht="33.75">
      <c r="A120" s="323">
        <v>91</v>
      </c>
      <c r="B120" s="449"/>
      <c r="C120" s="490" t="s">
        <v>601</v>
      </c>
      <c r="D120" s="487" t="s">
        <v>494</v>
      </c>
      <c r="E120" s="481"/>
      <c r="F120" s="482"/>
      <c r="G120" s="481"/>
      <c r="H120" s="483">
        <f t="shared" si="17"/>
        <v>0</v>
      </c>
      <c r="I120" s="421">
        <f t="shared" si="18"/>
        <v>0</v>
      </c>
      <c r="K120" s="484"/>
      <c r="L120" s="484"/>
      <c r="M120" s="389"/>
      <c r="N120" s="491"/>
      <c r="O120" s="1681"/>
      <c r="P120" s="324"/>
      <c r="Q120" s="329"/>
    </row>
    <row r="121" spans="1:17" ht="56.25">
      <c r="A121" s="323">
        <v>92</v>
      </c>
      <c r="B121" s="393" t="s">
        <v>489</v>
      </c>
      <c r="C121" s="492" t="s">
        <v>602</v>
      </c>
      <c r="D121" s="493"/>
      <c r="E121" s="474"/>
      <c r="F121" s="474"/>
      <c r="G121" s="474"/>
      <c r="H121" s="494"/>
      <c r="I121" s="476"/>
      <c r="J121" s="478" t="s">
        <v>513</v>
      </c>
      <c r="K121" s="478" t="s">
        <v>514</v>
      </c>
      <c r="L121" s="478" t="s">
        <v>515</v>
      </c>
      <c r="M121" s="478" t="s">
        <v>516</v>
      </c>
      <c r="N121" s="479" t="s">
        <v>517</v>
      </c>
      <c r="O121" s="452"/>
      <c r="P121" s="324"/>
      <c r="Q121" s="329"/>
    </row>
    <row r="122" spans="1:17">
      <c r="A122" s="323">
        <v>93</v>
      </c>
      <c r="B122" s="449">
        <v>1.1200000000000001</v>
      </c>
      <c r="C122" s="490" t="s">
        <v>603</v>
      </c>
      <c r="D122" s="387"/>
      <c r="E122" s="390"/>
      <c r="F122" s="390"/>
      <c r="G122" s="390"/>
      <c r="H122" s="450"/>
      <c r="J122" s="481"/>
      <c r="K122" s="495"/>
      <c r="L122" s="496"/>
      <c r="M122" s="421">
        <f>IF(J122+(K122*J122+L122)=J122,0,L122+K122*J122)</f>
        <v>0</v>
      </c>
      <c r="N122" s="497">
        <f>IF(J122+M122=J122,0,J122+M122)</f>
        <v>0</v>
      </c>
      <c r="O122" s="1682" t="s">
        <v>604</v>
      </c>
      <c r="P122" s="324"/>
      <c r="Q122" s="329"/>
    </row>
    <row r="123" spans="1:17">
      <c r="A123" s="323">
        <v>94</v>
      </c>
      <c r="B123" s="449">
        <v>1.1299999999999999</v>
      </c>
      <c r="C123" s="490" t="s">
        <v>605</v>
      </c>
      <c r="D123" s="387"/>
      <c r="E123" s="390"/>
      <c r="F123" s="390"/>
      <c r="G123" s="390"/>
      <c r="H123" s="450"/>
      <c r="J123" s="481"/>
      <c r="K123" s="495"/>
      <c r="L123" s="496"/>
      <c r="M123" s="421">
        <f t="shared" ref="M123:M128" si="19">IF(J123+(K123*J123+L123)=J123,0,L123+K123*J123)</f>
        <v>0</v>
      </c>
      <c r="N123" s="497">
        <f t="shared" ref="N123:N128" si="20">IF(J123+M123=J123,0,J123+M123)</f>
        <v>0</v>
      </c>
      <c r="O123" s="1683"/>
      <c r="P123" s="324"/>
      <c r="Q123" s="329"/>
    </row>
    <row r="124" spans="1:17">
      <c r="A124" s="323">
        <v>95</v>
      </c>
      <c r="B124" s="449">
        <v>1.1399999999999999</v>
      </c>
      <c r="C124" s="490" t="s">
        <v>606</v>
      </c>
      <c r="D124" s="387"/>
      <c r="E124" s="390"/>
      <c r="F124" s="390"/>
      <c r="G124" s="390"/>
      <c r="H124" s="450"/>
      <c r="J124" s="481"/>
      <c r="K124" s="495"/>
      <c r="L124" s="496"/>
      <c r="M124" s="421">
        <f t="shared" si="19"/>
        <v>0</v>
      </c>
      <c r="N124" s="497">
        <f t="shared" si="20"/>
        <v>0</v>
      </c>
      <c r="O124" s="1683"/>
      <c r="P124" s="324"/>
      <c r="Q124" s="329"/>
    </row>
    <row r="125" spans="1:17" ht="33.75">
      <c r="A125" s="323">
        <v>96</v>
      </c>
      <c r="B125" s="449">
        <v>1.1499999999999999</v>
      </c>
      <c r="C125" s="490" t="s">
        <v>607</v>
      </c>
      <c r="D125" s="387"/>
      <c r="E125" s="390"/>
      <c r="F125" s="390"/>
      <c r="G125" s="390"/>
      <c r="H125" s="450"/>
      <c r="J125" s="481"/>
      <c r="K125" s="495"/>
      <c r="L125" s="496"/>
      <c r="M125" s="421">
        <f t="shared" si="19"/>
        <v>0</v>
      </c>
      <c r="N125" s="497">
        <f t="shared" si="20"/>
        <v>0</v>
      </c>
      <c r="O125" s="1683"/>
      <c r="P125" s="324"/>
      <c r="Q125" s="329"/>
    </row>
    <row r="126" spans="1:17" ht="33.75">
      <c r="A126" s="323">
        <v>97</v>
      </c>
      <c r="B126" s="449">
        <v>1.1599999999999999</v>
      </c>
      <c r="C126" s="490" t="s">
        <v>608</v>
      </c>
      <c r="D126" s="387"/>
      <c r="E126" s="390"/>
      <c r="F126" s="390"/>
      <c r="G126" s="390"/>
      <c r="H126" s="450"/>
      <c r="J126" s="481"/>
      <c r="K126" s="495"/>
      <c r="L126" s="496"/>
      <c r="M126" s="421">
        <f t="shared" si="19"/>
        <v>0</v>
      </c>
      <c r="N126" s="497">
        <f t="shared" si="20"/>
        <v>0</v>
      </c>
      <c r="O126" s="1683"/>
      <c r="P126" s="324"/>
      <c r="Q126" s="329"/>
    </row>
    <row r="127" spans="1:17">
      <c r="A127" s="323">
        <v>98</v>
      </c>
      <c r="B127" s="449">
        <v>1.17</v>
      </c>
      <c r="C127" s="490" t="s">
        <v>609</v>
      </c>
      <c r="D127" s="387"/>
      <c r="E127" s="390"/>
      <c r="F127" s="390"/>
      <c r="G127" s="390"/>
      <c r="H127" s="450"/>
      <c r="J127" s="481"/>
      <c r="K127" s="495"/>
      <c r="L127" s="496"/>
      <c r="M127" s="421">
        <f t="shared" si="19"/>
        <v>0</v>
      </c>
      <c r="N127" s="497">
        <f t="shared" si="20"/>
        <v>0</v>
      </c>
      <c r="O127" s="1683"/>
      <c r="P127" s="324"/>
      <c r="Q127" s="329"/>
    </row>
    <row r="128" spans="1:17">
      <c r="A128" s="323">
        <v>99</v>
      </c>
      <c r="B128" s="449">
        <v>1.18</v>
      </c>
      <c r="C128" s="490" t="s">
        <v>610</v>
      </c>
      <c r="D128" s="387"/>
      <c r="E128" s="390"/>
      <c r="F128" s="390"/>
      <c r="G128" s="390"/>
      <c r="H128" s="450"/>
      <c r="J128" s="481"/>
      <c r="K128" s="495"/>
      <c r="L128" s="496"/>
      <c r="M128" s="421">
        <f t="shared" si="19"/>
        <v>0</v>
      </c>
      <c r="N128" s="497">
        <f t="shared" si="20"/>
        <v>0</v>
      </c>
      <c r="O128" s="1684"/>
      <c r="P128" s="324"/>
      <c r="Q128" s="329"/>
    </row>
    <row r="129" spans="1:17">
      <c r="A129" s="323">
        <v>100</v>
      </c>
      <c r="B129" s="498" t="s">
        <v>189</v>
      </c>
      <c r="C129" s="499" t="s">
        <v>611</v>
      </c>
      <c r="D129" s="407"/>
      <c r="E129" s="407"/>
      <c r="F129" s="407"/>
      <c r="G129" s="407"/>
      <c r="H129" s="500"/>
      <c r="I129" s="501"/>
      <c r="J129" s="407"/>
      <c r="K129" s="502"/>
      <c r="L129" s="502"/>
      <c r="M129" s="502"/>
      <c r="N129" s="503"/>
      <c r="O129" s="504"/>
      <c r="P129" s="324"/>
      <c r="Q129" s="329"/>
    </row>
    <row r="130" spans="1:17" ht="56.25">
      <c r="B130" s="966"/>
      <c r="C130" s="967" t="s">
        <v>488</v>
      </c>
      <c r="D130" s="968"/>
      <c r="E130" s="968"/>
      <c r="F130" s="968"/>
      <c r="G130" s="968"/>
      <c r="H130" s="969"/>
      <c r="I130" s="970"/>
      <c r="J130" s="955" t="s">
        <v>513</v>
      </c>
      <c r="K130" s="955" t="s">
        <v>514</v>
      </c>
      <c r="L130" s="955" t="s">
        <v>515</v>
      </c>
      <c r="M130" s="955" t="s">
        <v>516</v>
      </c>
      <c r="N130" s="956" t="s">
        <v>517</v>
      </c>
      <c r="O130" s="504"/>
      <c r="P130" s="324"/>
      <c r="Q130" s="329"/>
    </row>
    <row r="131" spans="1:17" ht="12.75" customHeight="1">
      <c r="B131" s="532"/>
      <c r="C131" s="971" t="s">
        <v>279</v>
      </c>
      <c r="D131" s="416"/>
      <c r="E131" s="416"/>
      <c r="F131" s="416"/>
      <c r="G131" s="416"/>
      <c r="H131" s="963"/>
      <c r="I131" s="964"/>
      <c r="J131" s="972">
        <v>129500</v>
      </c>
      <c r="K131" s="1059"/>
      <c r="L131" s="1059">
        <v>129500</v>
      </c>
      <c r="M131" s="949">
        <f>IF(J131=0,0,L131-J131)</f>
        <v>0</v>
      </c>
      <c r="N131" s="958">
        <f>IF(J131+M131=J131,0,J131+M131)</f>
        <v>0</v>
      </c>
      <c r="O131" s="1728" t="s">
        <v>364</v>
      </c>
      <c r="P131" s="324"/>
      <c r="Q131" s="329"/>
    </row>
    <row r="132" spans="1:17" ht="12.75">
      <c r="B132" s="532"/>
      <c r="C132" s="971" t="s">
        <v>280</v>
      </c>
      <c r="D132" s="416"/>
      <c r="E132" s="416"/>
      <c r="F132" s="416"/>
      <c r="G132" s="416"/>
      <c r="H132" s="963"/>
      <c r="I132" s="964"/>
      <c r="J132" s="972">
        <v>122400</v>
      </c>
      <c r="K132" s="1059"/>
      <c r="L132" s="965">
        <v>122400</v>
      </c>
      <c r="M132" s="949">
        <f t="shared" ref="M132:M156" si="21">IF(J132=0,0,L132-J132)</f>
        <v>0</v>
      </c>
      <c r="N132" s="958">
        <f t="shared" ref="N132:N156" si="22">IF(J132+M132=J132,0,J132+M132)</f>
        <v>0</v>
      </c>
      <c r="O132" s="1729"/>
      <c r="P132" s="324"/>
      <c r="Q132" s="329"/>
    </row>
    <row r="133" spans="1:17" ht="12.75">
      <c r="B133" s="532"/>
      <c r="C133" s="971" t="s">
        <v>281</v>
      </c>
      <c r="D133" s="416"/>
      <c r="E133" s="416"/>
      <c r="F133" s="416"/>
      <c r="G133" s="416"/>
      <c r="H133" s="963"/>
      <c r="I133" s="964"/>
      <c r="J133" s="972">
        <v>122400</v>
      </c>
      <c r="K133" s="1059"/>
      <c r="L133" s="965">
        <v>122400</v>
      </c>
      <c r="M133" s="949">
        <f t="shared" si="21"/>
        <v>0</v>
      </c>
      <c r="N133" s="958">
        <f t="shared" si="22"/>
        <v>0</v>
      </c>
      <c r="O133" s="1729"/>
      <c r="P133" s="324"/>
      <c r="Q133" s="329"/>
    </row>
    <row r="134" spans="1:17" ht="12.75">
      <c r="B134" s="532"/>
      <c r="C134" s="971" t="s">
        <v>946</v>
      </c>
      <c r="D134" s="416"/>
      <c r="E134" s="416"/>
      <c r="F134" s="416"/>
      <c r="G134" s="416"/>
      <c r="H134" s="963"/>
      <c r="I134" s="964"/>
      <c r="J134" s="972">
        <v>109150</v>
      </c>
      <c r="K134" s="1059"/>
      <c r="L134" s="965">
        <v>109150</v>
      </c>
      <c r="M134" s="949">
        <f>IF(J134=0,0,L134-J134)</f>
        <v>0</v>
      </c>
      <c r="N134" s="958">
        <f>IF(J134+M134=J134,0,J134+M134)</f>
        <v>0</v>
      </c>
      <c r="O134" s="1729"/>
      <c r="P134" s="324"/>
      <c r="Q134" s="329"/>
    </row>
    <row r="135" spans="1:17" ht="12.75">
      <c r="B135" s="532"/>
      <c r="C135" s="971" t="s">
        <v>282</v>
      </c>
      <c r="D135" s="416"/>
      <c r="E135" s="416"/>
      <c r="F135" s="416"/>
      <c r="G135" s="416"/>
      <c r="H135" s="963"/>
      <c r="I135" s="964"/>
      <c r="J135" s="972">
        <v>110500</v>
      </c>
      <c r="K135" s="1059"/>
      <c r="L135" s="965">
        <v>110500</v>
      </c>
      <c r="M135" s="949">
        <f t="shared" si="21"/>
        <v>0</v>
      </c>
      <c r="N135" s="958">
        <f t="shared" si="22"/>
        <v>0</v>
      </c>
      <c r="O135" s="1729"/>
      <c r="P135" s="324"/>
      <c r="Q135" s="329"/>
    </row>
    <row r="136" spans="1:17" ht="12.75">
      <c r="B136" s="532"/>
      <c r="C136" s="971" t="s">
        <v>283</v>
      </c>
      <c r="D136" s="416"/>
      <c r="E136" s="416"/>
      <c r="F136" s="416"/>
      <c r="G136" s="416"/>
      <c r="H136" s="963"/>
      <c r="I136" s="964"/>
      <c r="J136" s="972">
        <v>110500</v>
      </c>
      <c r="K136" s="1059"/>
      <c r="L136" s="965">
        <v>110500</v>
      </c>
      <c r="M136" s="949">
        <f t="shared" si="21"/>
        <v>0</v>
      </c>
      <c r="N136" s="958">
        <f t="shared" si="22"/>
        <v>0</v>
      </c>
      <c r="O136" s="1729"/>
      <c r="P136" s="324"/>
      <c r="Q136" s="329"/>
    </row>
    <row r="137" spans="1:17" ht="12.75">
      <c r="B137" s="532"/>
      <c r="C137" s="971" t="s">
        <v>284</v>
      </c>
      <c r="D137" s="416"/>
      <c r="E137" s="416"/>
      <c r="F137" s="416"/>
      <c r="G137" s="416"/>
      <c r="H137" s="963"/>
      <c r="I137" s="964"/>
      <c r="J137" s="972">
        <v>108000</v>
      </c>
      <c r="K137" s="1059"/>
      <c r="L137" s="965">
        <v>108000</v>
      </c>
      <c r="M137" s="949">
        <f t="shared" si="21"/>
        <v>0</v>
      </c>
      <c r="N137" s="958">
        <f t="shared" si="22"/>
        <v>0</v>
      </c>
      <c r="O137" s="1729"/>
      <c r="P137" s="324"/>
      <c r="Q137" s="329"/>
    </row>
    <row r="138" spans="1:17" ht="12.75">
      <c r="B138" s="532"/>
      <c r="C138" s="971" t="s">
        <v>285</v>
      </c>
      <c r="D138" s="416"/>
      <c r="E138" s="416"/>
      <c r="F138" s="416"/>
      <c r="G138" s="416"/>
      <c r="H138" s="963"/>
      <c r="I138" s="964"/>
      <c r="J138" s="972">
        <v>129500</v>
      </c>
      <c r="K138" s="1059"/>
      <c r="L138" s="965">
        <v>129500</v>
      </c>
      <c r="M138" s="949">
        <f t="shared" si="21"/>
        <v>0</v>
      </c>
      <c r="N138" s="958">
        <f t="shared" si="22"/>
        <v>0</v>
      </c>
      <c r="O138" s="1729"/>
      <c r="P138" s="324"/>
      <c r="Q138" s="329"/>
    </row>
    <row r="139" spans="1:17" ht="12.75">
      <c r="B139" s="532"/>
      <c r="C139" s="971" t="s">
        <v>286</v>
      </c>
      <c r="D139" s="416"/>
      <c r="E139" s="416"/>
      <c r="F139" s="416"/>
      <c r="G139" s="416"/>
      <c r="H139" s="963"/>
      <c r="I139" s="964"/>
      <c r="J139" s="972">
        <v>122400</v>
      </c>
      <c r="K139" s="1059"/>
      <c r="L139" s="965">
        <v>122400</v>
      </c>
      <c r="M139" s="949">
        <f t="shared" si="21"/>
        <v>0</v>
      </c>
      <c r="N139" s="958">
        <f t="shared" si="22"/>
        <v>0</v>
      </c>
      <c r="O139" s="1729"/>
      <c r="P139" s="324"/>
      <c r="Q139" s="329"/>
    </row>
    <row r="140" spans="1:17" ht="12.75">
      <c r="B140" s="532"/>
      <c r="C140" s="971" t="s">
        <v>287</v>
      </c>
      <c r="D140" s="416"/>
      <c r="E140" s="416"/>
      <c r="F140" s="416"/>
      <c r="G140" s="416"/>
      <c r="H140" s="963"/>
      <c r="I140" s="964"/>
      <c r="J140" s="972">
        <v>122400</v>
      </c>
      <c r="K140" s="1059"/>
      <c r="L140" s="965">
        <v>122400</v>
      </c>
      <c r="M140" s="949">
        <f t="shared" si="21"/>
        <v>0</v>
      </c>
      <c r="N140" s="958">
        <f t="shared" si="22"/>
        <v>0</v>
      </c>
      <c r="O140" s="1729"/>
      <c r="P140" s="324"/>
      <c r="Q140" s="329"/>
    </row>
    <row r="141" spans="1:17" ht="12.75">
      <c r="B141" s="532"/>
      <c r="C141" s="971" t="s">
        <v>288</v>
      </c>
      <c r="D141" s="416"/>
      <c r="E141" s="416"/>
      <c r="F141" s="416"/>
      <c r="G141" s="416"/>
      <c r="H141" s="963"/>
      <c r="I141" s="964"/>
      <c r="J141" s="972">
        <v>110500</v>
      </c>
      <c r="K141" s="1059"/>
      <c r="L141" s="965">
        <v>110500</v>
      </c>
      <c r="M141" s="949">
        <f t="shared" si="21"/>
        <v>0</v>
      </c>
      <c r="N141" s="958">
        <f t="shared" si="22"/>
        <v>0</v>
      </c>
      <c r="O141" s="1729"/>
      <c r="P141" s="324"/>
      <c r="Q141" s="329"/>
    </row>
    <row r="142" spans="1:17" ht="12.75">
      <c r="B142" s="532"/>
      <c r="C142" s="971" t="s">
        <v>289</v>
      </c>
      <c r="D142" s="416"/>
      <c r="E142" s="416"/>
      <c r="F142" s="416"/>
      <c r="G142" s="416"/>
      <c r="H142" s="963"/>
      <c r="I142" s="964"/>
      <c r="J142" s="972">
        <v>110500</v>
      </c>
      <c r="K142" s="1059"/>
      <c r="L142" s="965">
        <v>110500</v>
      </c>
      <c r="M142" s="949">
        <f t="shared" si="21"/>
        <v>0</v>
      </c>
      <c r="N142" s="958">
        <f t="shared" si="22"/>
        <v>0</v>
      </c>
      <c r="O142" s="1729"/>
      <c r="P142" s="324"/>
      <c r="Q142" s="329"/>
    </row>
    <row r="143" spans="1:17" ht="12.75">
      <c r="B143" s="532"/>
      <c r="C143" s="971" t="s">
        <v>290</v>
      </c>
      <c r="D143" s="416"/>
      <c r="E143" s="416"/>
      <c r="F143" s="416"/>
      <c r="G143" s="416"/>
      <c r="H143" s="963"/>
      <c r="I143" s="964"/>
      <c r="J143" s="972">
        <v>94000</v>
      </c>
      <c r="K143" s="1059"/>
      <c r="L143" s="965">
        <v>94000</v>
      </c>
      <c r="M143" s="949">
        <f t="shared" si="21"/>
        <v>0</v>
      </c>
      <c r="N143" s="958">
        <f t="shared" si="22"/>
        <v>0</v>
      </c>
      <c r="O143" s="1729"/>
      <c r="P143" s="324"/>
      <c r="Q143" s="329"/>
    </row>
    <row r="144" spans="1:17" ht="12.75">
      <c r="B144" s="532"/>
      <c r="C144" s="971" t="s">
        <v>291</v>
      </c>
      <c r="D144" s="416"/>
      <c r="E144" s="416"/>
      <c r="F144" s="416"/>
      <c r="G144" s="416"/>
      <c r="H144" s="963"/>
      <c r="I144" s="964"/>
      <c r="J144" s="972">
        <v>120400</v>
      </c>
      <c r="K144" s="1059"/>
      <c r="L144" s="965">
        <v>120400</v>
      </c>
      <c r="M144" s="949">
        <f t="shared" si="21"/>
        <v>0</v>
      </c>
      <c r="N144" s="958">
        <f t="shared" si="22"/>
        <v>0</v>
      </c>
      <c r="O144" s="1729"/>
      <c r="P144" s="324"/>
      <c r="Q144" s="329"/>
    </row>
    <row r="145" spans="2:17" ht="12.75">
      <c r="B145" s="532"/>
      <c r="C145" s="971" t="s">
        <v>292</v>
      </c>
      <c r="D145" s="416"/>
      <c r="E145" s="416"/>
      <c r="F145" s="416"/>
      <c r="G145" s="416"/>
      <c r="H145" s="963"/>
      <c r="I145" s="964"/>
      <c r="J145" s="972">
        <v>120400</v>
      </c>
      <c r="K145" s="1059"/>
      <c r="L145" s="965">
        <v>120400</v>
      </c>
      <c r="M145" s="949">
        <f t="shared" si="21"/>
        <v>0</v>
      </c>
      <c r="N145" s="958">
        <f t="shared" si="22"/>
        <v>0</v>
      </c>
      <c r="O145" s="1729"/>
      <c r="P145" s="324"/>
      <c r="Q145" s="329"/>
    </row>
    <row r="146" spans="2:17" ht="12.75">
      <c r="B146" s="532"/>
      <c r="C146" s="971" t="s">
        <v>293</v>
      </c>
      <c r="D146" s="416"/>
      <c r="E146" s="416"/>
      <c r="F146" s="416"/>
      <c r="G146" s="416"/>
      <c r="H146" s="963"/>
      <c r="I146" s="964"/>
      <c r="J146" s="972">
        <v>97000</v>
      </c>
      <c r="K146" s="1059"/>
      <c r="L146" s="965">
        <v>97000</v>
      </c>
      <c r="M146" s="949">
        <f t="shared" si="21"/>
        <v>0</v>
      </c>
      <c r="N146" s="958">
        <f t="shared" si="22"/>
        <v>0</v>
      </c>
      <c r="O146" s="1729"/>
      <c r="P146" s="324"/>
      <c r="Q146" s="329"/>
    </row>
    <row r="147" spans="2:17" ht="12.75">
      <c r="B147" s="532"/>
      <c r="C147" s="971" t="s">
        <v>294</v>
      </c>
      <c r="D147" s="416"/>
      <c r="E147" s="416"/>
      <c r="F147" s="416"/>
      <c r="G147" s="416"/>
      <c r="H147" s="963"/>
      <c r="I147" s="964"/>
      <c r="J147" s="972">
        <v>97000</v>
      </c>
      <c r="K147" s="1059"/>
      <c r="L147" s="965">
        <v>97000</v>
      </c>
      <c r="M147" s="949">
        <f t="shared" si="21"/>
        <v>0</v>
      </c>
      <c r="N147" s="958">
        <f t="shared" si="22"/>
        <v>0</v>
      </c>
      <c r="O147" s="1729"/>
      <c r="P147" s="324"/>
      <c r="Q147" s="329"/>
    </row>
    <row r="148" spans="2:17" ht="12.75">
      <c r="B148" s="532"/>
      <c r="C148" s="971" t="s">
        <v>295</v>
      </c>
      <c r="D148" s="416"/>
      <c r="E148" s="416"/>
      <c r="F148" s="416"/>
      <c r="G148" s="416"/>
      <c r="H148" s="963"/>
      <c r="I148" s="964"/>
      <c r="J148" s="972">
        <v>97000</v>
      </c>
      <c r="K148" s="1059"/>
      <c r="L148" s="965">
        <v>97000</v>
      </c>
      <c r="M148" s="949">
        <f t="shared" si="21"/>
        <v>0</v>
      </c>
      <c r="N148" s="958">
        <f t="shared" si="22"/>
        <v>0</v>
      </c>
      <c r="O148" s="1729"/>
      <c r="P148" s="324"/>
      <c r="Q148" s="329"/>
    </row>
    <row r="149" spans="2:17" ht="12.75">
      <c r="B149" s="532"/>
      <c r="C149" s="971" t="s">
        <v>970</v>
      </c>
      <c r="D149" s="416"/>
      <c r="E149" s="416"/>
      <c r="F149" s="416"/>
      <c r="G149" s="416"/>
      <c r="H149" s="963"/>
      <c r="I149" s="964"/>
      <c r="J149" s="972">
        <v>85500</v>
      </c>
      <c r="K149" s="1059"/>
      <c r="L149" s="965">
        <v>85500</v>
      </c>
      <c r="M149" s="949">
        <f t="shared" si="21"/>
        <v>0</v>
      </c>
      <c r="N149" s="958">
        <f t="shared" si="22"/>
        <v>0</v>
      </c>
      <c r="O149" s="1729"/>
      <c r="P149" s="324"/>
      <c r="Q149" s="329"/>
    </row>
    <row r="150" spans="2:17" ht="12.75">
      <c r="B150" s="532"/>
      <c r="C150" s="971" t="s">
        <v>971</v>
      </c>
      <c r="D150" s="416"/>
      <c r="E150" s="416"/>
      <c r="F150" s="416"/>
      <c r="G150" s="416"/>
      <c r="H150" s="963"/>
      <c r="I150" s="964"/>
      <c r="J150" s="972">
        <v>82000</v>
      </c>
      <c r="K150" s="1059"/>
      <c r="L150" s="965">
        <v>82000</v>
      </c>
      <c r="M150" s="949">
        <f t="shared" ref="M150" si="23">IF(J150=0,0,L150-J150)</f>
        <v>0</v>
      </c>
      <c r="N150" s="958">
        <f t="shared" ref="N150" si="24">IF(J150+M150=J150,0,J150+M150)</f>
        <v>0</v>
      </c>
      <c r="O150" s="1729"/>
      <c r="P150" s="324"/>
      <c r="Q150" s="329"/>
    </row>
    <row r="151" spans="2:17" ht="12.75">
      <c r="B151" s="532"/>
      <c r="C151" s="971" t="s">
        <v>296</v>
      </c>
      <c r="D151" s="416"/>
      <c r="E151" s="416"/>
      <c r="F151" s="416"/>
      <c r="G151" s="416"/>
      <c r="H151" s="963"/>
      <c r="I151" s="964"/>
      <c r="J151" s="972">
        <v>80600</v>
      </c>
      <c r="K151" s="1059"/>
      <c r="L151" s="965">
        <v>80600</v>
      </c>
      <c r="M151" s="949">
        <f t="shared" si="21"/>
        <v>0</v>
      </c>
      <c r="N151" s="958">
        <f t="shared" si="22"/>
        <v>0</v>
      </c>
      <c r="O151" s="1729"/>
      <c r="P151" s="324"/>
      <c r="Q151" s="329"/>
    </row>
    <row r="152" spans="2:17" ht="12.75">
      <c r="B152" s="532"/>
      <c r="C152" s="971" t="s">
        <v>297</v>
      </c>
      <c r="D152" s="416"/>
      <c r="E152" s="416"/>
      <c r="F152" s="416"/>
      <c r="G152" s="416"/>
      <c r="H152" s="963"/>
      <c r="I152" s="964"/>
      <c r="J152" s="972">
        <v>80600</v>
      </c>
      <c r="K152" s="1059"/>
      <c r="L152" s="965">
        <v>80600</v>
      </c>
      <c r="M152" s="949">
        <f t="shared" si="21"/>
        <v>0</v>
      </c>
      <c r="N152" s="958">
        <f t="shared" si="22"/>
        <v>0</v>
      </c>
      <c r="O152" s="1729"/>
      <c r="P152" s="324"/>
      <c r="Q152" s="329"/>
    </row>
    <row r="153" spans="2:17" ht="12.75">
      <c r="B153" s="532"/>
      <c r="C153" s="971" t="s">
        <v>500</v>
      </c>
      <c r="D153" s="416"/>
      <c r="E153" s="416"/>
      <c r="F153" s="416"/>
      <c r="G153" s="416"/>
      <c r="H153" s="963"/>
      <c r="I153" s="964"/>
      <c r="J153" s="972">
        <v>80600</v>
      </c>
      <c r="K153" s="1059"/>
      <c r="L153" s="965">
        <v>80600</v>
      </c>
      <c r="M153" s="949">
        <f t="shared" si="21"/>
        <v>0</v>
      </c>
      <c r="N153" s="958">
        <f t="shared" si="22"/>
        <v>0</v>
      </c>
      <c r="O153" s="1729"/>
      <c r="P153" s="324"/>
      <c r="Q153" s="329"/>
    </row>
    <row r="154" spans="2:17" ht="12.75">
      <c r="B154" s="532"/>
      <c r="C154" s="971" t="s">
        <v>298</v>
      </c>
      <c r="D154" s="416"/>
      <c r="E154" s="416"/>
      <c r="F154" s="416"/>
      <c r="G154" s="416"/>
      <c r="H154" s="963"/>
      <c r="I154" s="964"/>
      <c r="J154" s="972">
        <v>80600</v>
      </c>
      <c r="K154" s="1059"/>
      <c r="L154" s="965">
        <v>80600</v>
      </c>
      <c r="M154" s="949">
        <f t="shared" si="21"/>
        <v>0</v>
      </c>
      <c r="N154" s="958">
        <f t="shared" si="22"/>
        <v>0</v>
      </c>
      <c r="O154" s="1729"/>
      <c r="P154" s="324"/>
      <c r="Q154" s="329"/>
    </row>
    <row r="155" spans="2:17" ht="12.75">
      <c r="B155" s="532"/>
      <c r="C155" s="971" t="s">
        <v>299</v>
      </c>
      <c r="D155" s="416"/>
      <c r="E155" s="416"/>
      <c r="F155" s="416"/>
      <c r="G155" s="416"/>
      <c r="H155" s="963"/>
      <c r="I155" s="964"/>
      <c r="J155" s="972">
        <v>80600</v>
      </c>
      <c r="K155" s="1059"/>
      <c r="L155" s="965">
        <v>80600</v>
      </c>
      <c r="M155" s="949">
        <f t="shared" si="21"/>
        <v>0</v>
      </c>
      <c r="N155" s="958">
        <f t="shared" si="22"/>
        <v>0</v>
      </c>
      <c r="O155" s="1729"/>
      <c r="P155" s="324"/>
      <c r="Q155" s="329"/>
    </row>
    <row r="156" spans="2:17" ht="12.75">
      <c r="B156" s="532"/>
      <c r="C156" s="971" t="s">
        <v>300</v>
      </c>
      <c r="D156" s="416"/>
      <c r="E156" s="416"/>
      <c r="F156" s="416"/>
      <c r="G156" s="416"/>
      <c r="H156" s="963"/>
      <c r="I156" s="964"/>
      <c r="J156" s="972">
        <v>80600</v>
      </c>
      <c r="K156" s="1059"/>
      <c r="L156" s="965">
        <v>80600</v>
      </c>
      <c r="M156" s="949">
        <f t="shared" si="21"/>
        <v>0</v>
      </c>
      <c r="N156" s="958">
        <f t="shared" si="22"/>
        <v>0</v>
      </c>
      <c r="O156" s="1729"/>
      <c r="P156" s="324"/>
      <c r="Q156" s="329"/>
    </row>
    <row r="157" spans="2:17" ht="12.75">
      <c r="B157" s="532"/>
      <c r="C157" s="971" t="s">
        <v>301</v>
      </c>
      <c r="D157" s="416"/>
      <c r="E157" s="416"/>
      <c r="F157" s="416"/>
      <c r="G157" s="416"/>
      <c r="H157" s="963"/>
      <c r="I157" s="964"/>
      <c r="J157" s="972">
        <v>80600</v>
      </c>
      <c r="K157" s="1059"/>
      <c r="L157" s="965">
        <v>80600</v>
      </c>
      <c r="M157" s="949">
        <f t="shared" ref="M157:M162" si="25">IF(J157=0,0,L157-J157)</f>
        <v>0</v>
      </c>
      <c r="N157" s="958">
        <f t="shared" ref="N157:N162" si="26">IF(J157+M157=J157,0,J157+M157)</f>
        <v>0</v>
      </c>
      <c r="O157" s="1729"/>
      <c r="P157" s="324"/>
      <c r="Q157" s="329"/>
    </row>
    <row r="158" spans="2:17" ht="12.75">
      <c r="B158" s="532"/>
      <c r="C158" s="971" t="s">
        <v>302</v>
      </c>
      <c r="D158" s="416"/>
      <c r="E158" s="416"/>
      <c r="F158" s="416"/>
      <c r="G158" s="416"/>
      <c r="H158" s="963"/>
      <c r="I158" s="964"/>
      <c r="J158" s="972">
        <v>65500</v>
      </c>
      <c r="K158" s="1059"/>
      <c r="L158" s="965">
        <v>65500</v>
      </c>
      <c r="M158" s="949">
        <f t="shared" si="25"/>
        <v>0</v>
      </c>
      <c r="N158" s="958">
        <f t="shared" si="26"/>
        <v>0</v>
      </c>
      <c r="O158" s="1729"/>
      <c r="P158" s="324"/>
      <c r="Q158" s="329"/>
    </row>
    <row r="159" spans="2:17" ht="12.75">
      <c r="B159" s="532"/>
      <c r="C159" s="971" t="s">
        <v>303</v>
      </c>
      <c r="D159" s="416"/>
      <c r="E159" s="416"/>
      <c r="F159" s="416"/>
      <c r="G159" s="416"/>
      <c r="H159" s="963"/>
      <c r="I159" s="964"/>
      <c r="J159" s="972">
        <v>65500</v>
      </c>
      <c r="K159" s="1059"/>
      <c r="L159" s="965">
        <v>65500</v>
      </c>
      <c r="M159" s="949">
        <f t="shared" si="25"/>
        <v>0</v>
      </c>
      <c r="N159" s="958">
        <f t="shared" si="26"/>
        <v>0</v>
      </c>
      <c r="O159" s="1729"/>
      <c r="P159" s="324"/>
      <c r="Q159" s="329"/>
    </row>
    <row r="160" spans="2:17" ht="12.75">
      <c r="B160" s="498"/>
      <c r="C160" s="971" t="s">
        <v>304</v>
      </c>
      <c r="D160" s="416"/>
      <c r="E160" s="416"/>
      <c r="F160" s="416"/>
      <c r="G160" s="416"/>
      <c r="H160" s="963"/>
      <c r="I160" s="964"/>
      <c r="J160" s="972">
        <v>65500</v>
      </c>
      <c r="K160" s="1059"/>
      <c r="L160" s="965">
        <v>65500</v>
      </c>
      <c r="M160" s="949">
        <f t="shared" si="25"/>
        <v>0</v>
      </c>
      <c r="N160" s="958">
        <f t="shared" si="26"/>
        <v>0</v>
      </c>
      <c r="O160" s="1729"/>
      <c r="P160" s="324"/>
      <c r="Q160" s="329"/>
    </row>
    <row r="161" spans="1:19" ht="12.75">
      <c r="B161" s="498"/>
      <c r="C161" s="971" t="s">
        <v>305</v>
      </c>
      <c r="D161" s="416"/>
      <c r="E161" s="416"/>
      <c r="F161" s="416"/>
      <c r="G161" s="416"/>
      <c r="H161" s="963"/>
      <c r="I161" s="964"/>
      <c r="J161" s="972">
        <v>65500</v>
      </c>
      <c r="K161" s="1059"/>
      <c r="L161" s="965">
        <v>65500</v>
      </c>
      <c r="M161" s="949">
        <f t="shared" si="25"/>
        <v>0</v>
      </c>
      <c r="N161" s="958">
        <f t="shared" si="26"/>
        <v>0</v>
      </c>
      <c r="O161" s="1729"/>
      <c r="P161" s="324"/>
      <c r="Q161" s="329"/>
    </row>
    <row r="162" spans="1:19" ht="12.75">
      <c r="B162" s="498"/>
      <c r="C162" s="971" t="s">
        <v>306</v>
      </c>
      <c r="D162" s="416"/>
      <c r="E162" s="416"/>
      <c r="F162" s="416"/>
      <c r="G162" s="416"/>
      <c r="H162" s="963"/>
      <c r="I162" s="964"/>
      <c r="J162" s="972">
        <v>65500</v>
      </c>
      <c r="K162" s="1059"/>
      <c r="L162" s="965">
        <v>65500</v>
      </c>
      <c r="M162" s="949">
        <f t="shared" si="25"/>
        <v>0</v>
      </c>
      <c r="N162" s="958">
        <f t="shared" si="26"/>
        <v>0</v>
      </c>
      <c r="O162" s="1730"/>
      <c r="P162" s="324"/>
      <c r="Q162" s="329"/>
    </row>
    <row r="163" spans="1:19">
      <c r="B163" s="498"/>
      <c r="C163" s="499"/>
      <c r="D163" s="407"/>
      <c r="E163" s="407"/>
      <c r="F163" s="407"/>
      <c r="G163" s="407"/>
      <c r="H163" s="500"/>
      <c r="I163" s="501"/>
      <c r="J163" s="407"/>
      <c r="K163" s="502"/>
      <c r="L163" s="502"/>
      <c r="M163" s="502"/>
      <c r="N163" s="503"/>
      <c r="O163" s="504"/>
      <c r="P163" s="324"/>
      <c r="Q163" s="329"/>
    </row>
    <row r="164" spans="1:19" ht="56.25">
      <c r="A164" s="323">
        <v>101</v>
      </c>
      <c r="B164" s="393" t="s">
        <v>612</v>
      </c>
      <c r="C164" s="394" t="s">
        <v>613</v>
      </c>
      <c r="D164" s="505"/>
      <c r="E164" s="505"/>
      <c r="F164" s="505"/>
      <c r="G164" s="505"/>
      <c r="H164" s="506"/>
      <c r="I164" s="507"/>
      <c r="J164" s="478" t="s">
        <v>513</v>
      </c>
      <c r="K164" s="478" t="s">
        <v>514</v>
      </c>
      <c r="L164" s="478" t="s">
        <v>515</v>
      </c>
      <c r="M164" s="478" t="s">
        <v>516</v>
      </c>
      <c r="N164" s="479" t="s">
        <v>517</v>
      </c>
      <c r="O164" s="508"/>
      <c r="P164" s="324"/>
      <c r="Q164" s="329"/>
      <c r="S164" s="1056"/>
    </row>
    <row r="165" spans="1:19">
      <c r="A165" s="323">
        <v>102</v>
      </c>
      <c r="B165" s="414"/>
      <c r="C165" s="486" t="s">
        <v>614</v>
      </c>
      <c r="D165" s="509" t="s">
        <v>169</v>
      </c>
      <c r="E165" s="390"/>
      <c r="F165" s="390"/>
      <c r="G165" s="390"/>
      <c r="H165" s="450"/>
      <c r="J165" s="481">
        <v>162850</v>
      </c>
      <c r="K165" s="495"/>
      <c r="L165" s="496"/>
      <c r="M165" s="421">
        <f>IF(J165+(K165*J165+L165)=J165,0,L165+K165*J165)</f>
        <v>0</v>
      </c>
      <c r="N165" s="497">
        <f>IF(J165+M165=J165,0,J165+M165)</f>
        <v>0</v>
      </c>
      <c r="O165" s="1691" t="s">
        <v>615</v>
      </c>
      <c r="P165" s="324"/>
      <c r="Q165" s="329"/>
      <c r="S165" s="1056"/>
    </row>
    <row r="166" spans="1:19">
      <c r="A166" s="323">
        <v>103</v>
      </c>
      <c r="B166" s="449"/>
      <c r="C166" s="486" t="s">
        <v>616</v>
      </c>
      <c r="D166" s="487" t="s">
        <v>169</v>
      </c>
      <c r="E166" s="390"/>
      <c r="F166" s="390"/>
      <c r="G166" s="390"/>
      <c r="H166" s="450"/>
      <c r="J166" s="481">
        <v>129000</v>
      </c>
      <c r="K166" s="495"/>
      <c r="L166" s="496"/>
      <c r="M166" s="421">
        <f t="shared" ref="M166:M179" si="27">IF(J166+(K166*J166+L166)=J166,0,L166+K166*J166)</f>
        <v>0</v>
      </c>
      <c r="N166" s="497">
        <f t="shared" ref="N166:N179" si="28">IF(J166+M166=J166,0,J166+M166)</f>
        <v>0</v>
      </c>
      <c r="O166" s="1692"/>
      <c r="P166" s="324"/>
      <c r="Q166" s="329"/>
      <c r="S166" s="1056"/>
    </row>
    <row r="167" spans="1:19">
      <c r="A167" s="323">
        <v>104</v>
      </c>
      <c r="B167" s="449"/>
      <c r="C167" s="486" t="s">
        <v>617</v>
      </c>
      <c r="D167" s="487" t="s">
        <v>169</v>
      </c>
      <c r="E167" s="390"/>
      <c r="F167" s="390"/>
      <c r="G167" s="390"/>
      <c r="H167" s="450"/>
      <c r="J167" s="481">
        <v>117000</v>
      </c>
      <c r="K167" s="495"/>
      <c r="L167" s="496"/>
      <c r="M167" s="421">
        <f t="shared" si="27"/>
        <v>0</v>
      </c>
      <c r="N167" s="497">
        <f t="shared" si="28"/>
        <v>0</v>
      </c>
      <c r="O167" s="1692"/>
      <c r="P167" s="324"/>
      <c r="Q167" s="329"/>
      <c r="S167" s="1056"/>
    </row>
    <row r="168" spans="1:19" ht="33.75">
      <c r="A168" s="323">
        <v>105</v>
      </c>
      <c r="B168" s="449"/>
      <c r="C168" s="486" t="s">
        <v>618</v>
      </c>
      <c r="D168" s="487" t="s">
        <v>169</v>
      </c>
      <c r="E168" s="390"/>
      <c r="F168" s="390"/>
      <c r="G168" s="390"/>
      <c r="H168" s="450"/>
      <c r="J168" s="481">
        <v>103500</v>
      </c>
      <c r="K168" s="495"/>
      <c r="L168" s="496"/>
      <c r="M168" s="421">
        <f t="shared" si="27"/>
        <v>0</v>
      </c>
      <c r="N168" s="497">
        <f t="shared" si="28"/>
        <v>0</v>
      </c>
      <c r="O168" s="1692"/>
      <c r="P168" s="324"/>
      <c r="Q168" s="329"/>
    </row>
    <row r="169" spans="1:19" ht="45">
      <c r="A169" s="323">
        <v>106</v>
      </c>
      <c r="B169" s="449"/>
      <c r="C169" s="486" t="s">
        <v>619</v>
      </c>
      <c r="D169" s="487" t="s">
        <v>307</v>
      </c>
      <c r="E169" s="390"/>
      <c r="F169" s="390"/>
      <c r="G169" s="390"/>
      <c r="H169" s="450"/>
      <c r="J169" s="481">
        <v>89250</v>
      </c>
      <c r="K169" s="495"/>
      <c r="L169" s="496"/>
      <c r="M169" s="421">
        <f t="shared" si="27"/>
        <v>0</v>
      </c>
      <c r="N169" s="497">
        <f t="shared" si="28"/>
        <v>0</v>
      </c>
      <c r="O169" s="1692"/>
      <c r="P169" s="324"/>
      <c r="Q169" s="329"/>
    </row>
    <row r="170" spans="1:19">
      <c r="A170" s="323">
        <v>107</v>
      </c>
      <c r="B170" s="449"/>
      <c r="D170" s="487"/>
      <c r="E170" s="390"/>
      <c r="F170" s="390"/>
      <c r="G170" s="390"/>
      <c r="H170" s="450"/>
      <c r="J170" s="481">
        <v>82000</v>
      </c>
      <c r="K170" s="495"/>
      <c r="L170" s="496"/>
      <c r="M170" s="421">
        <f t="shared" si="27"/>
        <v>0</v>
      </c>
      <c r="N170" s="497">
        <f t="shared" si="28"/>
        <v>0</v>
      </c>
      <c r="O170" s="1692"/>
      <c r="P170" s="324"/>
      <c r="Q170" s="329"/>
    </row>
    <row r="171" spans="1:19" ht="33.75">
      <c r="A171" s="323">
        <v>108</v>
      </c>
      <c r="B171" s="449"/>
      <c r="C171" s="486" t="s">
        <v>620</v>
      </c>
      <c r="D171" s="487" t="s">
        <v>169</v>
      </c>
      <c r="E171" s="390"/>
      <c r="F171" s="390"/>
      <c r="G171" s="390"/>
      <c r="H171" s="450"/>
      <c r="J171" s="481">
        <v>77000</v>
      </c>
      <c r="K171" s="495"/>
      <c r="L171" s="496"/>
      <c r="M171" s="421">
        <f t="shared" si="27"/>
        <v>0</v>
      </c>
      <c r="N171" s="497">
        <f t="shared" si="28"/>
        <v>0</v>
      </c>
      <c r="O171" s="1692"/>
      <c r="P171" s="324"/>
      <c r="Q171" s="329"/>
    </row>
    <row r="172" spans="1:19">
      <c r="A172" s="323">
        <v>109</v>
      </c>
      <c r="B172" s="449"/>
      <c r="C172" s="486"/>
      <c r="D172" s="487"/>
      <c r="E172" s="390"/>
      <c r="F172" s="390"/>
      <c r="G172" s="390"/>
      <c r="H172" s="450"/>
      <c r="J172" s="481">
        <v>74000</v>
      </c>
      <c r="K172" s="495"/>
      <c r="L172" s="496"/>
      <c r="M172" s="421">
        <f t="shared" si="27"/>
        <v>0</v>
      </c>
      <c r="N172" s="497">
        <f t="shared" si="28"/>
        <v>0</v>
      </c>
      <c r="O172" s="1692"/>
      <c r="P172" s="324"/>
      <c r="Q172" s="329"/>
    </row>
    <row r="173" spans="1:19" ht="45">
      <c r="A173" s="323">
        <v>110</v>
      </c>
      <c r="B173" s="449"/>
      <c r="C173" s="486" t="s">
        <v>621</v>
      </c>
      <c r="D173" s="487" t="s">
        <v>307</v>
      </c>
      <c r="E173" s="390"/>
      <c r="F173" s="390"/>
      <c r="G173" s="390"/>
      <c r="H173" s="450"/>
      <c r="J173" s="481">
        <v>66500</v>
      </c>
      <c r="K173" s="495"/>
      <c r="L173" s="496"/>
      <c r="M173" s="421">
        <f t="shared" si="27"/>
        <v>0</v>
      </c>
      <c r="N173" s="497">
        <f t="shared" si="28"/>
        <v>0</v>
      </c>
      <c r="O173" s="1692"/>
      <c r="P173" s="324"/>
      <c r="Q173" s="329"/>
    </row>
    <row r="174" spans="1:19" ht="33.75">
      <c r="A174" s="323">
        <v>111</v>
      </c>
      <c r="B174" s="449"/>
      <c r="C174" s="486" t="s">
        <v>622</v>
      </c>
      <c r="D174" s="487" t="s">
        <v>173</v>
      </c>
      <c r="E174" s="390"/>
      <c r="F174" s="390"/>
      <c r="G174" s="390"/>
      <c r="H174" s="450"/>
      <c r="J174" s="481">
        <v>58500</v>
      </c>
      <c r="K174" s="495"/>
      <c r="L174" s="496"/>
      <c r="M174" s="421">
        <f t="shared" si="27"/>
        <v>0</v>
      </c>
      <c r="N174" s="497">
        <f t="shared" si="28"/>
        <v>0</v>
      </c>
      <c r="O174" s="1692"/>
      <c r="P174" s="324"/>
      <c r="Q174" s="329"/>
    </row>
    <row r="175" spans="1:19" ht="45">
      <c r="A175" s="323">
        <v>112</v>
      </c>
      <c r="B175" s="449"/>
      <c r="C175" s="486" t="s">
        <v>623</v>
      </c>
      <c r="D175" s="487" t="s">
        <v>171</v>
      </c>
      <c r="E175" s="390"/>
      <c r="F175" s="390"/>
      <c r="G175" s="390"/>
      <c r="H175" s="450"/>
      <c r="J175" s="481">
        <v>48300</v>
      </c>
      <c r="K175" s="495"/>
      <c r="L175" s="496"/>
      <c r="M175" s="421">
        <f t="shared" si="27"/>
        <v>0</v>
      </c>
      <c r="N175" s="497">
        <f t="shared" si="28"/>
        <v>0</v>
      </c>
      <c r="O175" s="1692"/>
      <c r="P175" s="324"/>
      <c r="Q175" s="329"/>
    </row>
    <row r="176" spans="1:19">
      <c r="A176" s="323">
        <v>113</v>
      </c>
      <c r="B176" s="449"/>
      <c r="C176" s="486"/>
      <c r="D176" s="487"/>
      <c r="E176" s="390"/>
      <c r="F176" s="390"/>
      <c r="G176" s="390"/>
      <c r="H176" s="450"/>
      <c r="J176" s="481">
        <v>430000</v>
      </c>
      <c r="K176" s="495"/>
      <c r="L176" s="496"/>
      <c r="M176" s="421">
        <f t="shared" si="27"/>
        <v>0</v>
      </c>
      <c r="N176" s="497">
        <f t="shared" si="28"/>
        <v>0</v>
      </c>
      <c r="O176" s="1692"/>
      <c r="P176" s="324"/>
      <c r="Q176" s="329"/>
    </row>
    <row r="177" spans="1:17" ht="33.75">
      <c r="A177" s="323">
        <v>114</v>
      </c>
      <c r="B177" s="449"/>
      <c r="C177" s="486" t="s">
        <v>625</v>
      </c>
      <c r="D177" s="487" t="s">
        <v>171</v>
      </c>
      <c r="E177" s="390"/>
      <c r="F177" s="390"/>
      <c r="G177" s="390"/>
      <c r="H177" s="450"/>
      <c r="J177" s="481">
        <v>39000</v>
      </c>
      <c r="K177" s="495"/>
      <c r="L177" s="496"/>
      <c r="M177" s="421">
        <f t="shared" si="27"/>
        <v>0</v>
      </c>
      <c r="N177" s="497">
        <f t="shared" si="28"/>
        <v>0</v>
      </c>
      <c r="O177" s="1692"/>
      <c r="P177" s="324"/>
      <c r="Q177" s="329"/>
    </row>
    <row r="178" spans="1:17" ht="22.5">
      <c r="A178" s="323">
        <v>115</v>
      </c>
      <c r="B178" s="449"/>
      <c r="C178" s="486" t="s">
        <v>627</v>
      </c>
      <c r="D178" s="487" t="s">
        <v>173</v>
      </c>
      <c r="E178" s="390"/>
      <c r="F178" s="390"/>
      <c r="G178" s="390"/>
      <c r="H178" s="450"/>
      <c r="J178" s="481">
        <v>33700</v>
      </c>
      <c r="K178" s="495"/>
      <c r="L178" s="496"/>
      <c r="M178" s="421">
        <f t="shared" si="27"/>
        <v>0</v>
      </c>
      <c r="N178" s="497">
        <f t="shared" si="28"/>
        <v>0</v>
      </c>
      <c r="O178" s="1692"/>
      <c r="P178" s="324"/>
      <c r="Q178" s="329"/>
    </row>
    <row r="179" spans="1:17">
      <c r="A179" s="323">
        <v>116</v>
      </c>
      <c r="B179" s="449"/>
      <c r="C179" s="486" t="s">
        <v>629</v>
      </c>
      <c r="D179" s="510"/>
      <c r="E179" s="390"/>
      <c r="F179" s="390"/>
      <c r="G179" s="390"/>
      <c r="H179" s="450"/>
      <c r="J179" s="481"/>
      <c r="K179" s="495"/>
      <c r="L179" s="496"/>
      <c r="M179" s="421">
        <f t="shared" si="27"/>
        <v>0</v>
      </c>
      <c r="N179" s="497">
        <f t="shared" si="28"/>
        <v>0</v>
      </c>
      <c r="O179" s="1693"/>
      <c r="P179" s="324"/>
      <c r="Q179" s="329"/>
    </row>
    <row r="180" spans="1:17">
      <c r="A180" s="323">
        <v>117</v>
      </c>
      <c r="B180" s="453" t="s">
        <v>630</v>
      </c>
      <c r="C180" s="406" t="s">
        <v>631</v>
      </c>
      <c r="D180" s="407"/>
      <c r="E180" s="511"/>
      <c r="F180" s="511"/>
      <c r="G180" s="511"/>
      <c r="H180" s="512"/>
      <c r="I180" s="513"/>
      <c r="J180" s="511"/>
      <c r="K180" s="514"/>
      <c r="L180" s="514"/>
      <c r="M180" s="514"/>
      <c r="N180" s="514"/>
      <c r="O180" s="514"/>
      <c r="P180" s="324"/>
      <c r="Q180" s="329"/>
    </row>
    <row r="181" spans="1:17" ht="46.5" customHeight="1">
      <c r="A181" s="323">
        <v>118</v>
      </c>
      <c r="B181" s="393" t="s">
        <v>612</v>
      </c>
      <c r="C181" s="394" t="s">
        <v>632</v>
      </c>
      <c r="D181" s="505"/>
      <c r="E181" s="478" t="s">
        <v>513</v>
      </c>
      <c r="F181" s="478" t="s">
        <v>514</v>
      </c>
      <c r="G181" s="478" t="s">
        <v>515</v>
      </c>
      <c r="H181" s="478" t="s">
        <v>516</v>
      </c>
      <c r="I181" s="479" t="s">
        <v>517</v>
      </c>
      <c r="J181" s="505"/>
      <c r="K181" s="515"/>
      <c r="L181" s="515"/>
      <c r="M181" s="515"/>
      <c r="N181" s="515"/>
      <c r="O181" s="516"/>
      <c r="P181" s="324"/>
      <c r="Q181" s="329"/>
    </row>
    <row r="182" spans="1:17">
      <c r="A182" s="323">
        <v>119</v>
      </c>
      <c r="B182" s="449"/>
      <c r="C182" s="517"/>
      <c r="D182" s="387" t="s">
        <v>182</v>
      </c>
      <c r="E182" s="518">
        <v>18000</v>
      </c>
      <c r="F182" s="482"/>
      <c r="G182" s="481"/>
      <c r="H182" s="483">
        <f>IF(E182+(F182*E182+G182)=E182,0,G182+F182*E182)</f>
        <v>0</v>
      </c>
      <c r="I182" s="421">
        <f>IF(E182+H182=E182,0,E182+H182)</f>
        <v>0</v>
      </c>
      <c r="K182" s="484"/>
      <c r="L182" s="484"/>
      <c r="M182" s="484"/>
      <c r="N182" s="484"/>
      <c r="O182" s="1667" t="s">
        <v>633</v>
      </c>
      <c r="P182" s="324"/>
      <c r="Q182" s="329"/>
    </row>
    <row r="183" spans="1:17">
      <c r="A183" s="323">
        <v>120</v>
      </c>
      <c r="B183" s="449"/>
      <c r="C183" s="490"/>
      <c r="D183" s="487" t="s">
        <v>186</v>
      </c>
      <c r="E183" s="518">
        <v>19600</v>
      </c>
      <c r="F183" s="482"/>
      <c r="G183" s="481"/>
      <c r="H183" s="483">
        <f t="shared" ref="H183:H195" si="29">IF(E183+(F183*E183+G183)=E183,0,G183+F183*E183)</f>
        <v>0</v>
      </c>
      <c r="I183" s="421">
        <f t="shared" ref="I183:I195" si="30">IF(E183+H183=E183,0,E183+H183)</f>
        <v>0</v>
      </c>
      <c r="K183" s="484"/>
      <c r="L183" s="484"/>
      <c r="M183" s="484"/>
      <c r="N183" s="484"/>
      <c r="O183" s="1668"/>
      <c r="P183" s="324"/>
      <c r="Q183" s="329"/>
    </row>
    <row r="184" spans="1:17">
      <c r="A184" s="323">
        <v>121</v>
      </c>
      <c r="B184" s="449"/>
      <c r="C184" s="490"/>
      <c r="D184" s="487" t="s">
        <v>189</v>
      </c>
      <c r="E184" s="518">
        <v>20500</v>
      </c>
      <c r="F184" s="482"/>
      <c r="G184" s="481"/>
      <c r="H184" s="483">
        <f t="shared" si="29"/>
        <v>0</v>
      </c>
      <c r="I184" s="421">
        <f t="shared" si="30"/>
        <v>0</v>
      </c>
      <c r="K184" s="484"/>
      <c r="L184" s="484"/>
      <c r="M184" s="484"/>
      <c r="N184" s="484"/>
      <c r="O184" s="1668"/>
      <c r="P184" s="324"/>
      <c r="Q184" s="329"/>
    </row>
    <row r="185" spans="1:17">
      <c r="A185" s="323">
        <v>122</v>
      </c>
      <c r="B185" s="449"/>
      <c r="C185" s="490"/>
      <c r="D185" s="487" t="s">
        <v>489</v>
      </c>
      <c r="E185" s="518">
        <v>21100</v>
      </c>
      <c r="F185" s="482"/>
      <c r="G185" s="481"/>
      <c r="H185" s="483">
        <f t="shared" si="29"/>
        <v>0</v>
      </c>
      <c r="I185" s="421">
        <f t="shared" si="30"/>
        <v>0</v>
      </c>
      <c r="K185" s="484"/>
      <c r="L185" s="484"/>
      <c r="M185" s="484"/>
      <c r="N185" s="484"/>
      <c r="O185" s="1668"/>
      <c r="P185" s="324"/>
      <c r="Q185" s="329"/>
    </row>
    <row r="186" spans="1:17">
      <c r="A186" s="323">
        <v>123</v>
      </c>
      <c r="B186" s="449"/>
      <c r="C186" s="490"/>
      <c r="D186" s="487" t="s">
        <v>490</v>
      </c>
      <c r="E186" s="518">
        <v>21800</v>
      </c>
      <c r="F186" s="482"/>
      <c r="G186" s="481"/>
      <c r="H186" s="483">
        <f t="shared" si="29"/>
        <v>0</v>
      </c>
      <c r="I186" s="421">
        <f t="shared" si="30"/>
        <v>0</v>
      </c>
      <c r="K186" s="484"/>
      <c r="L186" s="484"/>
      <c r="M186" s="484"/>
      <c r="N186" s="484"/>
      <c r="O186" s="1668"/>
      <c r="P186" s="324"/>
      <c r="Q186" s="329"/>
    </row>
    <row r="187" spans="1:17">
      <c r="A187" s="323">
        <v>124</v>
      </c>
      <c r="B187" s="449"/>
      <c r="C187" s="490"/>
      <c r="D187" s="487" t="s">
        <v>491</v>
      </c>
      <c r="E187" s="518">
        <v>23000</v>
      </c>
      <c r="F187" s="482"/>
      <c r="G187" s="481"/>
      <c r="H187" s="483">
        <f t="shared" si="29"/>
        <v>0</v>
      </c>
      <c r="I187" s="421">
        <f t="shared" si="30"/>
        <v>0</v>
      </c>
      <c r="K187" s="484"/>
      <c r="L187" s="484"/>
      <c r="M187" s="484"/>
      <c r="N187" s="484"/>
      <c r="O187" s="1668"/>
      <c r="P187" s="324"/>
      <c r="Q187" s="329"/>
    </row>
    <row r="188" spans="1:17">
      <c r="A188" s="323">
        <v>125</v>
      </c>
      <c r="B188" s="449"/>
      <c r="C188" s="490"/>
      <c r="D188" s="487" t="s">
        <v>492</v>
      </c>
      <c r="E188" s="518">
        <v>23800</v>
      </c>
      <c r="F188" s="482"/>
      <c r="G188" s="481"/>
      <c r="H188" s="483">
        <f t="shared" si="29"/>
        <v>0</v>
      </c>
      <c r="I188" s="421">
        <f t="shared" si="30"/>
        <v>0</v>
      </c>
      <c r="K188" s="484"/>
      <c r="L188" s="484"/>
      <c r="M188" s="484"/>
      <c r="N188" s="484"/>
      <c r="O188" s="1668"/>
      <c r="P188" s="324"/>
      <c r="Q188" s="329"/>
    </row>
    <row r="189" spans="1:17">
      <c r="A189" s="323">
        <v>126</v>
      </c>
      <c r="B189" s="449"/>
      <c r="C189" s="490"/>
      <c r="D189" s="487" t="s">
        <v>599</v>
      </c>
      <c r="E189" s="518">
        <v>24500</v>
      </c>
      <c r="F189" s="482"/>
      <c r="G189" s="481"/>
      <c r="H189" s="483">
        <f t="shared" si="29"/>
        <v>0</v>
      </c>
      <c r="I189" s="421">
        <f t="shared" si="30"/>
        <v>0</v>
      </c>
      <c r="K189" s="484"/>
      <c r="L189" s="484"/>
      <c r="M189" s="484"/>
      <c r="N189" s="484"/>
      <c r="O189" s="1668"/>
      <c r="P189" s="324"/>
      <c r="Q189" s="329"/>
    </row>
    <row r="190" spans="1:17">
      <c r="A190" s="323">
        <v>127</v>
      </c>
      <c r="B190" s="449"/>
      <c r="C190" s="490"/>
      <c r="D190" s="487" t="s">
        <v>493</v>
      </c>
      <c r="E190" s="518">
        <v>26000</v>
      </c>
      <c r="F190" s="482"/>
      <c r="G190" s="481"/>
      <c r="H190" s="483">
        <f t="shared" si="29"/>
        <v>0</v>
      </c>
      <c r="I190" s="421">
        <f t="shared" si="30"/>
        <v>0</v>
      </c>
      <c r="K190" s="484"/>
      <c r="L190" s="484"/>
      <c r="M190" s="484"/>
      <c r="N190" s="484"/>
      <c r="O190" s="1668"/>
      <c r="P190" s="324"/>
      <c r="Q190" s="329"/>
    </row>
    <row r="191" spans="1:17">
      <c r="A191" s="323">
        <v>128</v>
      </c>
      <c r="B191" s="449"/>
      <c r="C191" s="490"/>
      <c r="D191" s="487" t="s">
        <v>494</v>
      </c>
      <c r="E191" s="518">
        <v>27500</v>
      </c>
      <c r="F191" s="482"/>
      <c r="G191" s="481"/>
      <c r="H191" s="483">
        <f t="shared" si="29"/>
        <v>0</v>
      </c>
      <c r="I191" s="421">
        <f t="shared" si="30"/>
        <v>0</v>
      </c>
      <c r="K191" s="484"/>
      <c r="L191" s="484"/>
      <c r="M191" s="484"/>
      <c r="N191" s="484"/>
      <c r="O191" s="1668"/>
      <c r="P191" s="324"/>
      <c r="Q191" s="329"/>
    </row>
    <row r="192" spans="1:17">
      <c r="A192" s="323">
        <v>129</v>
      </c>
      <c r="B192" s="449"/>
      <c r="C192" s="490"/>
      <c r="D192" s="487" t="s">
        <v>495</v>
      </c>
      <c r="E192" s="518">
        <v>28500</v>
      </c>
      <c r="F192" s="482"/>
      <c r="G192" s="481"/>
      <c r="H192" s="483">
        <f t="shared" si="29"/>
        <v>0</v>
      </c>
      <c r="I192" s="421">
        <f t="shared" si="30"/>
        <v>0</v>
      </c>
      <c r="K192" s="484"/>
      <c r="L192" s="484"/>
      <c r="M192" s="484"/>
      <c r="N192" s="484"/>
      <c r="O192" s="1668"/>
      <c r="P192" s="324"/>
      <c r="Q192" s="329"/>
    </row>
    <row r="193" spans="1:17">
      <c r="A193" s="323">
        <v>130</v>
      </c>
      <c r="B193" s="449"/>
      <c r="C193" s="490"/>
      <c r="D193" s="487" t="s">
        <v>496</v>
      </c>
      <c r="E193" s="518">
        <v>30500</v>
      </c>
      <c r="F193" s="482"/>
      <c r="G193" s="481"/>
      <c r="H193" s="483">
        <f t="shared" si="29"/>
        <v>0</v>
      </c>
      <c r="I193" s="421">
        <f t="shared" si="30"/>
        <v>0</v>
      </c>
      <c r="K193" s="484"/>
      <c r="L193" s="484"/>
      <c r="M193" s="484"/>
      <c r="N193" s="484"/>
      <c r="O193" s="1668"/>
      <c r="P193" s="324"/>
      <c r="Q193" s="329"/>
    </row>
    <row r="194" spans="1:17">
      <c r="A194" s="323">
        <v>131</v>
      </c>
      <c r="B194" s="449"/>
      <c r="C194" s="490"/>
      <c r="D194" s="487" t="s">
        <v>497</v>
      </c>
      <c r="E194" s="518">
        <v>32000</v>
      </c>
      <c r="F194" s="482"/>
      <c r="G194" s="481"/>
      <c r="H194" s="483">
        <f t="shared" si="29"/>
        <v>0</v>
      </c>
      <c r="I194" s="421">
        <f t="shared" si="30"/>
        <v>0</v>
      </c>
      <c r="K194" s="484"/>
      <c r="L194" s="484"/>
      <c r="M194" s="484"/>
      <c r="N194" s="484"/>
      <c r="O194" s="1668"/>
      <c r="P194" s="324"/>
      <c r="Q194" s="329"/>
    </row>
    <row r="195" spans="1:17">
      <c r="A195" s="323">
        <v>132</v>
      </c>
      <c r="B195" s="449"/>
      <c r="C195" s="490"/>
      <c r="D195" s="487" t="s">
        <v>499</v>
      </c>
      <c r="E195" s="518">
        <v>34000</v>
      </c>
      <c r="F195" s="482"/>
      <c r="G195" s="481"/>
      <c r="H195" s="483">
        <f t="shared" si="29"/>
        <v>0</v>
      </c>
      <c r="I195" s="421">
        <f t="shared" si="30"/>
        <v>0</v>
      </c>
      <c r="K195" s="484"/>
      <c r="L195" s="484"/>
      <c r="M195" s="484"/>
      <c r="N195" s="484"/>
      <c r="O195" s="1669"/>
      <c r="P195" s="324"/>
      <c r="Q195" s="329"/>
    </row>
    <row r="196" spans="1:17" ht="56.25">
      <c r="A196" s="323">
        <v>144</v>
      </c>
      <c r="B196" s="405" t="s">
        <v>634</v>
      </c>
      <c r="C196" s="406" t="s">
        <v>635</v>
      </c>
      <c r="D196" s="519"/>
      <c r="E196" s="520"/>
      <c r="F196" s="520"/>
      <c r="G196" s="520"/>
      <c r="H196" s="520"/>
      <c r="I196" s="520"/>
      <c r="J196" s="411" t="s">
        <v>513</v>
      </c>
      <c r="K196" s="411" t="s">
        <v>514</v>
      </c>
      <c r="L196" s="411" t="s">
        <v>515</v>
      </c>
      <c r="M196" s="411" t="s">
        <v>516</v>
      </c>
      <c r="N196" s="412" t="s">
        <v>517</v>
      </c>
      <c r="O196" s="521"/>
      <c r="P196" s="324"/>
      <c r="Q196" s="329"/>
    </row>
    <row r="197" spans="1:17">
      <c r="A197" s="323">
        <v>145</v>
      </c>
      <c r="B197" s="348"/>
      <c r="D197" s="387" t="s">
        <v>528</v>
      </c>
      <c r="E197" s="375">
        <f>$K$8</f>
        <v>14000</v>
      </c>
      <c r="F197" s="463"/>
      <c r="G197" s="463"/>
      <c r="H197" s="464"/>
      <c r="I197" s="465"/>
      <c r="J197" s="522">
        <f>$K$17</f>
        <v>91700</v>
      </c>
      <c r="K197" s="363">
        <f>L17</f>
        <v>0</v>
      </c>
      <c r="L197" s="363">
        <f>M17</f>
        <v>91700</v>
      </c>
      <c r="M197" s="421">
        <f>IF(J197+(K197*J197+L197)=J197,0,L197+K197*J197)</f>
        <v>91700</v>
      </c>
      <c r="N197" s="497">
        <f>IF(J197+M197=J197,0,J197+M197)</f>
        <v>183400</v>
      </c>
      <c r="O197" s="1694" t="s">
        <v>636</v>
      </c>
      <c r="P197" s="324"/>
      <c r="Q197" s="329"/>
    </row>
    <row r="198" spans="1:17">
      <c r="A198" s="323">
        <v>146</v>
      </c>
      <c r="B198" s="348"/>
      <c r="D198" s="387" t="s">
        <v>150</v>
      </c>
      <c r="E198" s="375">
        <f>$K$8</f>
        <v>14000</v>
      </c>
      <c r="F198" s="463"/>
      <c r="G198" s="463"/>
      <c r="H198" s="464"/>
      <c r="I198" s="465"/>
      <c r="J198" s="522">
        <f>$K$18</f>
        <v>74400</v>
      </c>
      <c r="K198" s="363">
        <f>L18</f>
        <v>0</v>
      </c>
      <c r="L198" s="363">
        <f>M18</f>
        <v>74400</v>
      </c>
      <c r="M198" s="421">
        <f>IF(J198+(K198*J198+L198)=J198,0,L198+K198*J198)</f>
        <v>74400</v>
      </c>
      <c r="N198" s="497">
        <f>IF(J198+M198=J198,0,J198+M198)</f>
        <v>148800</v>
      </c>
      <c r="O198" s="1695"/>
      <c r="P198" s="324"/>
      <c r="Q198" s="329"/>
    </row>
    <row r="199" spans="1:17">
      <c r="A199" s="323">
        <v>147</v>
      </c>
      <c r="B199" s="348"/>
      <c r="D199" s="387" t="s">
        <v>637</v>
      </c>
      <c r="E199" s="375">
        <f>$K$8</f>
        <v>14000</v>
      </c>
      <c r="F199" s="463"/>
      <c r="G199" s="463"/>
      <c r="H199" s="464"/>
      <c r="I199" s="465"/>
      <c r="J199" s="522">
        <f>$K$20</f>
        <v>57000</v>
      </c>
      <c r="K199" s="363">
        <f>L20</f>
        <v>0</v>
      </c>
      <c r="L199" s="363">
        <f>M20</f>
        <v>57000</v>
      </c>
      <c r="M199" s="421">
        <f>IF(J199+(K199*J199+L199)=J199,0,L199+K199*J199)</f>
        <v>57000</v>
      </c>
      <c r="N199" s="497">
        <f>IF(J199+M199=J199,0,J199+M199)</f>
        <v>114000</v>
      </c>
      <c r="O199" s="1695"/>
      <c r="P199" s="324"/>
      <c r="Q199" s="329"/>
    </row>
    <row r="200" spans="1:17">
      <c r="A200" s="323">
        <v>148</v>
      </c>
      <c r="B200" s="348"/>
      <c r="D200" s="387" t="s">
        <v>153</v>
      </c>
      <c r="E200" s="375">
        <f>$K$8</f>
        <v>14000</v>
      </c>
      <c r="F200" s="463"/>
      <c r="G200" s="463"/>
      <c r="H200" s="464"/>
      <c r="I200" s="465"/>
      <c r="J200" s="522">
        <f>$K$21</f>
        <v>45800</v>
      </c>
      <c r="K200" s="363">
        <f>L21</f>
        <v>0</v>
      </c>
      <c r="L200" s="363">
        <f>M21</f>
        <v>45800</v>
      </c>
      <c r="M200" s="421">
        <f>IF(J200+(K200*J200+L200)=J200,0,L200+K200*J200)</f>
        <v>45800</v>
      </c>
      <c r="N200" s="497">
        <f>IF(J200+M200=J200,0,J200+M200)</f>
        <v>91600</v>
      </c>
      <c r="O200" s="1696"/>
      <c r="P200" s="324"/>
      <c r="Q200" s="329"/>
    </row>
    <row r="201" spans="1:17">
      <c r="A201" s="323">
        <v>149</v>
      </c>
      <c r="B201" s="523"/>
      <c r="C201" s="524"/>
      <c r="D201" s="470"/>
      <c r="E201" s="471"/>
      <c r="F201" s="471"/>
      <c r="G201" s="471"/>
      <c r="H201" s="472"/>
      <c r="I201" s="473"/>
      <c r="J201" s="474"/>
      <c r="K201" s="475"/>
      <c r="L201" s="475"/>
      <c r="M201" s="476"/>
      <c r="N201" s="476"/>
      <c r="O201" s="474"/>
      <c r="P201" s="324"/>
      <c r="Q201" s="329"/>
    </row>
    <row r="202" spans="1:17" s="1055" customFormat="1" ht="56.25">
      <c r="A202" s="323">
        <v>150</v>
      </c>
      <c r="B202" s="498" t="s">
        <v>634</v>
      </c>
      <c r="C202" s="525" t="s">
        <v>638</v>
      </c>
      <c r="D202" s="519"/>
      <c r="E202" s="411" t="s">
        <v>513</v>
      </c>
      <c r="F202" s="411" t="s">
        <v>514</v>
      </c>
      <c r="G202" s="411" t="s">
        <v>515</v>
      </c>
      <c r="H202" s="411" t="s">
        <v>516</v>
      </c>
      <c r="I202" s="412" t="s">
        <v>517</v>
      </c>
      <c r="J202" s="526"/>
      <c r="K202" s="526"/>
      <c r="L202" s="526"/>
      <c r="M202" s="526"/>
      <c r="N202" s="526"/>
      <c r="O202" s="527"/>
      <c r="P202" s="324"/>
      <c r="Q202" s="329"/>
    </row>
    <row r="203" spans="1:17">
      <c r="A203" s="323">
        <v>151</v>
      </c>
      <c r="B203" s="449"/>
      <c r="C203" s="517" t="s">
        <v>639</v>
      </c>
      <c r="D203" s="519" t="s">
        <v>182</v>
      </c>
      <c r="E203" s="481">
        <v>16000</v>
      </c>
      <c r="F203" s="482"/>
      <c r="G203" s="481"/>
      <c r="H203" s="483">
        <f>IF(E203+(F203*E203+G203)=E203,0,G203+F203*E203)</f>
        <v>0</v>
      </c>
      <c r="I203" s="421">
        <f>IF(E203+H203=E203,0,E203+H203)</f>
        <v>0</v>
      </c>
      <c r="K203" s="484"/>
      <c r="L203" s="484"/>
      <c r="M203" s="389"/>
      <c r="N203" s="528"/>
      <c r="O203" s="1697" t="s">
        <v>640</v>
      </c>
      <c r="P203" s="324"/>
      <c r="Q203" s="329"/>
    </row>
    <row r="204" spans="1:17">
      <c r="A204" s="323">
        <v>152</v>
      </c>
      <c r="B204" s="449"/>
      <c r="C204" s="490"/>
      <c r="D204" s="519" t="s">
        <v>186</v>
      </c>
      <c r="E204" s="481">
        <v>16300</v>
      </c>
      <c r="F204" s="482"/>
      <c r="G204" s="481"/>
      <c r="H204" s="483">
        <f t="shared" ref="H204:H225" si="31">IF(E204+(F204*E204+G204)=E204,0,G204+F204*E204)</f>
        <v>0</v>
      </c>
      <c r="I204" s="421">
        <f t="shared" ref="I204:I225" si="32">IF(E204+H204=E204,0,E204+H204)</f>
        <v>0</v>
      </c>
      <c r="K204" s="484"/>
      <c r="L204" s="484"/>
      <c r="M204" s="389"/>
      <c r="N204" s="528"/>
      <c r="O204" s="1697"/>
      <c r="P204" s="324"/>
      <c r="Q204" s="329"/>
    </row>
    <row r="205" spans="1:17">
      <c r="A205" s="323">
        <v>153</v>
      </c>
      <c r="B205" s="449"/>
      <c r="C205" s="490"/>
      <c r="D205" s="519" t="s">
        <v>189</v>
      </c>
      <c r="E205" s="481">
        <v>16500</v>
      </c>
      <c r="F205" s="482"/>
      <c r="G205" s="481"/>
      <c r="H205" s="483">
        <f t="shared" si="31"/>
        <v>0</v>
      </c>
      <c r="I205" s="421">
        <f t="shared" si="32"/>
        <v>0</v>
      </c>
      <c r="K205" s="484"/>
      <c r="L205" s="484"/>
      <c r="M205" s="389"/>
      <c r="N205" s="528"/>
      <c r="O205" s="1697"/>
      <c r="P205" s="324"/>
      <c r="Q205" s="329"/>
    </row>
    <row r="206" spans="1:17">
      <c r="A206" s="323">
        <v>154</v>
      </c>
      <c r="B206" s="449"/>
      <c r="C206" s="490"/>
      <c r="D206" s="519" t="s">
        <v>489</v>
      </c>
      <c r="E206" s="481">
        <v>17200</v>
      </c>
      <c r="F206" s="482"/>
      <c r="G206" s="481"/>
      <c r="H206" s="483">
        <f t="shared" si="31"/>
        <v>0</v>
      </c>
      <c r="I206" s="421">
        <f t="shared" si="32"/>
        <v>0</v>
      </c>
      <c r="K206" s="484"/>
      <c r="L206" s="484"/>
      <c r="M206" s="389"/>
      <c r="N206" s="528"/>
      <c r="O206" s="1697" t="s">
        <v>641</v>
      </c>
      <c r="P206" s="324"/>
      <c r="Q206" s="329"/>
    </row>
    <row r="207" spans="1:17">
      <c r="A207" s="323">
        <v>155</v>
      </c>
      <c r="B207" s="449"/>
      <c r="C207" s="490"/>
      <c r="D207" s="519" t="s">
        <v>490</v>
      </c>
      <c r="E207" s="481">
        <v>17700</v>
      </c>
      <c r="F207" s="482"/>
      <c r="G207" s="481"/>
      <c r="H207" s="483">
        <f t="shared" si="31"/>
        <v>0</v>
      </c>
      <c r="I207" s="421">
        <f t="shared" si="32"/>
        <v>0</v>
      </c>
      <c r="K207" s="484"/>
      <c r="L207" s="484"/>
      <c r="M207" s="389"/>
      <c r="N207" s="528"/>
      <c r="O207" s="1697"/>
      <c r="P207" s="324"/>
      <c r="Q207" s="329"/>
    </row>
    <row r="208" spans="1:17">
      <c r="A208" s="323">
        <v>156</v>
      </c>
      <c r="B208" s="449"/>
      <c r="C208" s="490"/>
      <c r="D208" s="519" t="s">
        <v>491</v>
      </c>
      <c r="E208" s="481">
        <v>18100</v>
      </c>
      <c r="F208" s="482"/>
      <c r="G208" s="481"/>
      <c r="H208" s="483">
        <f t="shared" si="31"/>
        <v>0</v>
      </c>
      <c r="I208" s="421">
        <f t="shared" si="32"/>
        <v>0</v>
      </c>
      <c r="K208" s="484"/>
      <c r="L208" s="484"/>
      <c r="M208" s="389"/>
      <c r="N208" s="528"/>
      <c r="O208" s="1697"/>
      <c r="P208" s="324"/>
      <c r="Q208" s="329"/>
    </row>
    <row r="209" spans="1:17">
      <c r="A209" s="323">
        <v>157</v>
      </c>
      <c r="B209" s="449"/>
      <c r="C209" s="490"/>
      <c r="D209" s="519" t="s">
        <v>492</v>
      </c>
      <c r="E209" s="481">
        <v>18700</v>
      </c>
      <c r="F209" s="482"/>
      <c r="G209" s="481"/>
      <c r="H209" s="483">
        <f t="shared" si="31"/>
        <v>0</v>
      </c>
      <c r="I209" s="421">
        <f t="shared" si="32"/>
        <v>0</v>
      </c>
      <c r="K209" s="484"/>
      <c r="L209" s="484"/>
      <c r="M209" s="389"/>
      <c r="N209" s="528"/>
      <c r="O209" s="1697"/>
      <c r="P209" s="324"/>
      <c r="Q209" s="329"/>
    </row>
    <row r="210" spans="1:17">
      <c r="A210" s="323">
        <v>158</v>
      </c>
      <c r="B210" s="449"/>
      <c r="C210" s="490"/>
      <c r="D210" s="519" t="s">
        <v>599</v>
      </c>
      <c r="E210" s="481">
        <v>19100</v>
      </c>
      <c r="F210" s="482"/>
      <c r="G210" s="481"/>
      <c r="H210" s="483">
        <f t="shared" si="31"/>
        <v>0</v>
      </c>
      <c r="I210" s="421">
        <f t="shared" si="32"/>
        <v>0</v>
      </c>
      <c r="K210" s="484"/>
      <c r="L210" s="484"/>
      <c r="M210" s="389"/>
      <c r="N210" s="528"/>
      <c r="O210" s="529"/>
      <c r="P210" s="324"/>
      <c r="Q210" s="329"/>
    </row>
    <row r="211" spans="1:17">
      <c r="A211" s="323">
        <v>159</v>
      </c>
      <c r="B211" s="449"/>
      <c r="C211" s="490"/>
      <c r="D211" s="519" t="s">
        <v>493</v>
      </c>
      <c r="E211" s="481">
        <v>19400</v>
      </c>
      <c r="F211" s="482"/>
      <c r="G211" s="481"/>
      <c r="H211" s="483">
        <f t="shared" si="31"/>
        <v>0</v>
      </c>
      <c r="I211" s="421">
        <f t="shared" si="32"/>
        <v>0</v>
      </c>
      <c r="K211" s="484"/>
      <c r="L211" s="484"/>
      <c r="M211" s="389"/>
      <c r="N211" s="528"/>
      <c r="O211" s="359"/>
      <c r="P211" s="324"/>
      <c r="Q211" s="329"/>
    </row>
    <row r="212" spans="1:17">
      <c r="A212" s="323">
        <v>160</v>
      </c>
      <c r="B212" s="449"/>
      <c r="C212" s="490"/>
      <c r="D212" s="519" t="s">
        <v>494</v>
      </c>
      <c r="E212" s="481">
        <v>20200</v>
      </c>
      <c r="F212" s="482"/>
      <c r="G212" s="481"/>
      <c r="H212" s="483">
        <f t="shared" si="31"/>
        <v>0</v>
      </c>
      <c r="I212" s="421">
        <f t="shared" si="32"/>
        <v>0</v>
      </c>
      <c r="K212" s="484"/>
      <c r="L212" s="484"/>
      <c r="M212" s="389"/>
      <c r="N212" s="485"/>
      <c r="O212" s="1688" t="s">
        <v>642</v>
      </c>
      <c r="P212" s="324"/>
      <c r="Q212" s="329"/>
    </row>
    <row r="213" spans="1:17">
      <c r="A213" s="323">
        <v>161</v>
      </c>
      <c r="B213" s="449"/>
      <c r="C213" s="490"/>
      <c r="D213" s="519" t="s">
        <v>495</v>
      </c>
      <c r="E213" s="481">
        <v>20650</v>
      </c>
      <c r="F213" s="482"/>
      <c r="G213" s="481"/>
      <c r="H213" s="483">
        <f t="shared" si="31"/>
        <v>0</v>
      </c>
      <c r="I213" s="421">
        <f t="shared" si="32"/>
        <v>0</v>
      </c>
      <c r="K213" s="484"/>
      <c r="L213" s="484"/>
      <c r="M213" s="389"/>
      <c r="N213" s="488"/>
      <c r="O213" s="1689"/>
      <c r="P213" s="324"/>
      <c r="Q213" s="329"/>
    </row>
    <row r="214" spans="1:17">
      <c r="A214" s="323">
        <v>162</v>
      </c>
      <c r="B214" s="449"/>
      <c r="C214" s="490"/>
      <c r="D214" s="519" t="s">
        <v>496</v>
      </c>
      <c r="E214" s="481">
        <v>21000</v>
      </c>
      <c r="F214" s="482"/>
      <c r="G214" s="481"/>
      <c r="H214" s="483">
        <f t="shared" si="31"/>
        <v>0</v>
      </c>
      <c r="I214" s="421">
        <f t="shared" si="32"/>
        <v>0</v>
      </c>
      <c r="K214" s="484"/>
      <c r="L214" s="484"/>
      <c r="M214" s="389"/>
      <c r="N214" s="488"/>
      <c r="O214" s="1689"/>
      <c r="P214" s="324"/>
      <c r="Q214" s="329"/>
    </row>
    <row r="215" spans="1:17">
      <c r="A215" s="323">
        <v>163</v>
      </c>
      <c r="B215" s="449"/>
      <c r="C215" s="490"/>
      <c r="D215" s="519" t="s">
        <v>497</v>
      </c>
      <c r="E215" s="481">
        <v>21300</v>
      </c>
      <c r="F215" s="482"/>
      <c r="G215" s="481"/>
      <c r="H215" s="483">
        <f t="shared" si="31"/>
        <v>0</v>
      </c>
      <c r="I215" s="421">
        <f t="shared" si="32"/>
        <v>0</v>
      </c>
      <c r="K215" s="484"/>
      <c r="L215" s="484"/>
      <c r="M215" s="389"/>
      <c r="N215" s="491"/>
      <c r="O215" s="1690"/>
      <c r="P215" s="324"/>
      <c r="Q215" s="329"/>
    </row>
    <row r="216" spans="1:17">
      <c r="A216" s="323">
        <v>164</v>
      </c>
      <c r="B216" s="449"/>
      <c r="C216" s="490"/>
      <c r="D216" s="519" t="s">
        <v>499</v>
      </c>
      <c r="E216" s="481">
        <v>21600</v>
      </c>
      <c r="F216" s="482"/>
      <c r="G216" s="481"/>
      <c r="H216" s="483">
        <f t="shared" si="31"/>
        <v>0</v>
      </c>
      <c r="I216" s="421">
        <f t="shared" si="32"/>
        <v>0</v>
      </c>
      <c r="K216" s="484"/>
      <c r="L216" s="484"/>
      <c r="M216" s="389"/>
      <c r="N216" s="528"/>
      <c r="O216" s="359"/>
      <c r="P216" s="324"/>
      <c r="Q216" s="329"/>
    </row>
    <row r="217" spans="1:17">
      <c r="A217" s="323">
        <v>165</v>
      </c>
      <c r="B217" s="449"/>
      <c r="C217" s="490"/>
      <c r="D217" s="487" t="s">
        <v>643</v>
      </c>
      <c r="E217" s="481">
        <v>21900</v>
      </c>
      <c r="F217" s="482"/>
      <c r="G217" s="481"/>
      <c r="H217" s="483">
        <f t="shared" si="31"/>
        <v>0</v>
      </c>
      <c r="I217" s="421">
        <f t="shared" si="32"/>
        <v>0</v>
      </c>
      <c r="K217" s="484"/>
      <c r="L217" s="484"/>
      <c r="M217" s="389"/>
      <c r="N217" s="528"/>
      <c r="O217" s="359"/>
      <c r="P217" s="324"/>
      <c r="Q217" s="329"/>
    </row>
    <row r="218" spans="1:17">
      <c r="A218" s="323">
        <v>166</v>
      </c>
      <c r="B218" s="449"/>
      <c r="C218" s="490"/>
      <c r="D218" s="487" t="s">
        <v>644</v>
      </c>
      <c r="E218" s="481">
        <v>22250</v>
      </c>
      <c r="F218" s="482"/>
      <c r="G218" s="481"/>
      <c r="H218" s="483">
        <f t="shared" si="31"/>
        <v>0</v>
      </c>
      <c r="I218" s="421">
        <f t="shared" si="32"/>
        <v>0</v>
      </c>
      <c r="K218" s="484"/>
      <c r="L218" s="484"/>
      <c r="M218" s="389"/>
      <c r="N218" s="528"/>
      <c r="O218" s="359"/>
      <c r="P218" s="324"/>
      <c r="Q218" s="329"/>
    </row>
    <row r="219" spans="1:17">
      <c r="A219" s="323">
        <v>167</v>
      </c>
      <c r="B219" s="449"/>
      <c r="C219" s="490"/>
      <c r="D219" s="487" t="s">
        <v>645</v>
      </c>
      <c r="E219" s="481">
        <v>22650</v>
      </c>
      <c r="F219" s="482"/>
      <c r="G219" s="481"/>
      <c r="H219" s="483">
        <f t="shared" si="31"/>
        <v>0</v>
      </c>
      <c r="I219" s="421">
        <f t="shared" si="32"/>
        <v>0</v>
      </c>
      <c r="K219" s="484"/>
      <c r="L219" s="484"/>
      <c r="M219" s="389"/>
      <c r="N219" s="528"/>
      <c r="O219" s="359"/>
      <c r="P219" s="324"/>
      <c r="Q219" s="329"/>
    </row>
    <row r="220" spans="1:17">
      <c r="A220" s="323">
        <v>168</v>
      </c>
      <c r="B220" s="449"/>
      <c r="C220" s="490"/>
      <c r="D220" s="487" t="s">
        <v>646</v>
      </c>
      <c r="E220" s="481">
        <v>23100</v>
      </c>
      <c r="F220" s="482"/>
      <c r="G220" s="481"/>
      <c r="H220" s="483">
        <f t="shared" si="31"/>
        <v>0</v>
      </c>
      <c r="I220" s="421">
        <f t="shared" si="32"/>
        <v>0</v>
      </c>
      <c r="K220" s="484"/>
      <c r="L220" s="484"/>
      <c r="M220" s="389"/>
      <c r="N220" s="528"/>
      <c r="O220" s="359"/>
      <c r="P220" s="324"/>
      <c r="Q220" s="329"/>
    </row>
    <row r="221" spans="1:17">
      <c r="A221" s="323">
        <v>169</v>
      </c>
      <c r="B221" s="449"/>
      <c r="C221" s="490"/>
      <c r="D221" s="487" t="s">
        <v>647</v>
      </c>
      <c r="E221" s="481">
        <v>23200</v>
      </c>
      <c r="F221" s="482"/>
      <c r="G221" s="481"/>
      <c r="H221" s="483">
        <f t="shared" si="31"/>
        <v>0</v>
      </c>
      <c r="I221" s="421">
        <f t="shared" si="32"/>
        <v>0</v>
      </c>
      <c r="K221" s="484"/>
      <c r="L221" s="484"/>
      <c r="M221" s="389"/>
      <c r="N221" s="528"/>
      <c r="O221" s="359"/>
      <c r="P221" s="324"/>
      <c r="Q221" s="329"/>
    </row>
    <row r="222" spans="1:17">
      <c r="A222" s="323">
        <v>170</v>
      </c>
      <c r="B222" s="449"/>
      <c r="C222" s="490"/>
      <c r="D222" s="487" t="s">
        <v>648</v>
      </c>
      <c r="E222" s="481">
        <v>25000</v>
      </c>
      <c r="F222" s="482"/>
      <c r="G222" s="481"/>
      <c r="H222" s="483">
        <f t="shared" si="31"/>
        <v>0</v>
      </c>
      <c r="I222" s="421">
        <f t="shared" si="32"/>
        <v>0</v>
      </c>
      <c r="K222" s="484"/>
      <c r="L222" s="484"/>
      <c r="M222" s="389"/>
      <c r="N222" s="528"/>
      <c r="O222" s="359"/>
      <c r="P222" s="324"/>
      <c r="Q222" s="329"/>
    </row>
    <row r="223" spans="1:17">
      <c r="A223" s="323">
        <v>171</v>
      </c>
      <c r="B223" s="449"/>
      <c r="C223" s="490"/>
      <c r="D223" s="487" t="s">
        <v>649</v>
      </c>
      <c r="E223" s="481">
        <v>25600</v>
      </c>
      <c r="F223" s="482"/>
      <c r="G223" s="481"/>
      <c r="H223" s="483">
        <f t="shared" si="31"/>
        <v>0</v>
      </c>
      <c r="I223" s="421">
        <f t="shared" si="32"/>
        <v>0</v>
      </c>
      <c r="K223" s="484"/>
      <c r="L223" s="484"/>
      <c r="M223" s="389"/>
      <c r="N223" s="528"/>
      <c r="O223" s="359"/>
      <c r="P223" s="324"/>
      <c r="Q223" s="329"/>
    </row>
    <row r="224" spans="1:17">
      <c r="A224" s="323">
        <v>172</v>
      </c>
      <c r="B224" s="449"/>
      <c r="C224" s="490"/>
      <c r="D224" s="487" t="s">
        <v>650</v>
      </c>
      <c r="E224" s="481">
        <v>27860</v>
      </c>
      <c r="F224" s="482"/>
      <c r="G224" s="481"/>
      <c r="H224" s="483">
        <f t="shared" si="31"/>
        <v>0</v>
      </c>
      <c r="I224" s="421">
        <f t="shared" si="32"/>
        <v>0</v>
      </c>
      <c r="K224" s="484"/>
      <c r="L224" s="484"/>
      <c r="M224" s="389"/>
      <c r="N224" s="528"/>
      <c r="O224" s="359"/>
      <c r="P224" s="324"/>
      <c r="Q224" s="329"/>
    </row>
    <row r="225" spans="1:17">
      <c r="A225" s="323">
        <v>173</v>
      </c>
      <c r="B225" s="449"/>
      <c r="C225" s="490"/>
      <c r="D225" s="487" t="s">
        <v>651</v>
      </c>
      <c r="E225" s="481">
        <v>32860</v>
      </c>
      <c r="F225" s="482"/>
      <c r="G225" s="481"/>
      <c r="H225" s="483">
        <f t="shared" si="31"/>
        <v>0</v>
      </c>
      <c r="I225" s="421">
        <f t="shared" si="32"/>
        <v>0</v>
      </c>
      <c r="K225" s="484"/>
      <c r="L225" s="484"/>
      <c r="M225" s="389"/>
      <c r="N225" s="528"/>
      <c r="O225" s="359"/>
      <c r="P225" s="324"/>
      <c r="Q225" s="329"/>
    </row>
    <row r="226" spans="1:17" ht="56.25">
      <c r="A226" s="323">
        <v>174</v>
      </c>
      <c r="B226" s="405" t="s">
        <v>652</v>
      </c>
      <c r="C226" s="530" t="s">
        <v>653</v>
      </c>
      <c r="D226" s="407"/>
      <c r="E226" s="411" t="s">
        <v>513</v>
      </c>
      <c r="F226" s="411" t="s">
        <v>514</v>
      </c>
      <c r="G226" s="411" t="s">
        <v>515</v>
      </c>
      <c r="H226" s="411" t="s">
        <v>516</v>
      </c>
      <c r="I226" s="412" t="s">
        <v>517</v>
      </c>
      <c r="J226" s="411" t="s">
        <v>654</v>
      </c>
      <c r="K226" s="411" t="s">
        <v>655</v>
      </c>
      <c r="L226" s="411" t="s">
        <v>656</v>
      </c>
      <c r="M226" s="531"/>
      <c r="N226" s="531"/>
      <c r="O226" s="413"/>
      <c r="P226" s="324"/>
      <c r="Q226" s="329"/>
    </row>
    <row r="227" spans="1:17">
      <c r="A227" s="323">
        <v>175</v>
      </c>
      <c r="B227" s="532">
        <v>1</v>
      </c>
      <c r="C227" s="533" t="s">
        <v>657</v>
      </c>
      <c r="D227" s="416" t="s">
        <v>183</v>
      </c>
      <c r="E227" s="371">
        <v>16800</v>
      </c>
      <c r="F227" s="534"/>
      <c r="G227" s="371"/>
      <c r="H227" s="535">
        <f>IF(E227+(F227*E227+G227)=E227,0,G227+F227*E227)</f>
        <v>0</v>
      </c>
      <c r="I227" s="421">
        <f>IF(E227+H227=E227,0,E227+H227)</f>
        <v>0</v>
      </c>
      <c r="J227" s="534">
        <v>0.02</v>
      </c>
      <c r="K227" s="363"/>
      <c r="L227" s="536">
        <f>IF(J227+K227=J227,0,J227+K227)</f>
        <v>0</v>
      </c>
      <c r="M227" s="389"/>
      <c r="N227" s="389"/>
      <c r="O227" s="1745" t="s">
        <v>658</v>
      </c>
      <c r="P227" s="324"/>
      <c r="Q227" s="329"/>
    </row>
    <row r="228" spans="1:17">
      <c r="A228" s="323">
        <v>176</v>
      </c>
      <c r="B228" s="532"/>
      <c r="C228" s="533"/>
      <c r="D228" s="416" t="s">
        <v>184</v>
      </c>
      <c r="E228" s="371">
        <v>18300</v>
      </c>
      <c r="F228" s="534"/>
      <c r="G228" s="371"/>
      <c r="H228" s="535">
        <f t="shared" ref="H228:H238" si="33">IF(E228+(F228*E228+G228)=E228,0,G228+F228*E228)</f>
        <v>0</v>
      </c>
      <c r="I228" s="421">
        <f t="shared" ref="I228:I238" si="34">IF(E228+H228=E228,0,E228+H228)</f>
        <v>0</v>
      </c>
      <c r="J228" s="534">
        <v>0.02</v>
      </c>
      <c r="K228" s="363"/>
      <c r="L228" s="536">
        <f t="shared" ref="L228:L238" si="35">IF(J228+K228=J228,0,J228+K228)</f>
        <v>0</v>
      </c>
      <c r="M228" s="389"/>
      <c r="N228" s="389"/>
      <c r="O228" s="1745"/>
      <c r="P228" s="324"/>
      <c r="Q228" s="329"/>
    </row>
    <row r="229" spans="1:17">
      <c r="A229" s="323">
        <v>177</v>
      </c>
      <c r="B229" s="532"/>
      <c r="C229" s="533"/>
      <c r="D229" s="416" t="s">
        <v>185</v>
      </c>
      <c r="E229" s="371">
        <v>22700</v>
      </c>
      <c r="F229" s="534"/>
      <c r="G229" s="371"/>
      <c r="H229" s="535">
        <f t="shared" si="33"/>
        <v>0</v>
      </c>
      <c r="I229" s="421">
        <f t="shared" si="34"/>
        <v>0</v>
      </c>
      <c r="J229" s="534">
        <v>0.03</v>
      </c>
      <c r="K229" s="363"/>
      <c r="L229" s="536">
        <f t="shared" si="35"/>
        <v>0</v>
      </c>
      <c r="M229" s="389"/>
      <c r="N229" s="389"/>
      <c r="O229" s="1745"/>
      <c r="P229" s="324"/>
      <c r="Q229" s="329"/>
    </row>
    <row r="230" spans="1:17">
      <c r="A230" s="323">
        <v>178</v>
      </c>
      <c r="B230" s="532"/>
      <c r="C230" s="533"/>
      <c r="D230" s="416" t="s">
        <v>659</v>
      </c>
      <c r="E230" s="371">
        <v>24500</v>
      </c>
      <c r="F230" s="534"/>
      <c r="G230" s="371"/>
      <c r="H230" s="535">
        <f t="shared" si="33"/>
        <v>0</v>
      </c>
      <c r="I230" s="421">
        <f t="shared" si="34"/>
        <v>0</v>
      </c>
      <c r="J230" s="534">
        <v>0.05</v>
      </c>
      <c r="K230" s="363"/>
      <c r="L230" s="536">
        <f t="shared" si="35"/>
        <v>0</v>
      </c>
      <c r="M230" s="389"/>
      <c r="N230" s="389"/>
      <c r="O230" s="1745"/>
      <c r="P230" s="324"/>
      <c r="Q230" s="329"/>
    </row>
    <row r="231" spans="1:17">
      <c r="A231" s="323">
        <v>179</v>
      </c>
      <c r="B231" s="532"/>
      <c r="C231" s="533"/>
      <c r="D231" s="416" t="s">
        <v>660</v>
      </c>
      <c r="E231" s="371">
        <v>30460</v>
      </c>
      <c r="F231" s="534"/>
      <c r="G231" s="371"/>
      <c r="H231" s="535">
        <f t="shared" si="33"/>
        <v>0</v>
      </c>
      <c r="I231" s="421">
        <f t="shared" si="34"/>
        <v>0</v>
      </c>
      <c r="J231" s="534">
        <v>0.06</v>
      </c>
      <c r="K231" s="363"/>
      <c r="L231" s="536">
        <f t="shared" si="35"/>
        <v>0</v>
      </c>
      <c r="M231" s="389"/>
      <c r="N231" s="389"/>
      <c r="O231" s="1745"/>
      <c r="P231" s="324"/>
      <c r="Q231" s="329"/>
    </row>
    <row r="232" spans="1:17">
      <c r="A232" s="323">
        <v>180</v>
      </c>
      <c r="B232" s="532">
        <v>2</v>
      </c>
      <c r="C232" s="533" t="s">
        <v>661</v>
      </c>
      <c r="D232" s="416" t="s">
        <v>187</v>
      </c>
      <c r="E232" s="371">
        <v>33560</v>
      </c>
      <c r="F232" s="534"/>
      <c r="G232" s="371"/>
      <c r="H232" s="535">
        <f t="shared" si="33"/>
        <v>0</v>
      </c>
      <c r="I232" s="421">
        <f t="shared" si="34"/>
        <v>0</v>
      </c>
      <c r="J232" s="534">
        <v>0.08</v>
      </c>
      <c r="K232" s="363"/>
      <c r="L232" s="536">
        <f t="shared" si="35"/>
        <v>0</v>
      </c>
      <c r="M232" s="389"/>
      <c r="N232" s="389"/>
      <c r="O232" s="1745"/>
      <c r="P232" s="324"/>
      <c r="Q232" s="329"/>
    </row>
    <row r="233" spans="1:17">
      <c r="A233" s="323">
        <v>181</v>
      </c>
      <c r="B233" s="532"/>
      <c r="C233" s="533"/>
      <c r="D233" s="416" t="s">
        <v>188</v>
      </c>
      <c r="E233" s="371">
        <v>36560</v>
      </c>
      <c r="F233" s="534"/>
      <c r="G233" s="371"/>
      <c r="H233" s="535">
        <f t="shared" si="33"/>
        <v>0</v>
      </c>
      <c r="I233" s="421">
        <f t="shared" si="34"/>
        <v>0</v>
      </c>
      <c r="J233" s="534">
        <v>0.12</v>
      </c>
      <c r="K233" s="363"/>
      <c r="L233" s="536">
        <f t="shared" si="35"/>
        <v>0</v>
      </c>
      <c r="M233" s="389"/>
      <c r="N233" s="389"/>
      <c r="O233" s="1745"/>
      <c r="P233" s="324"/>
      <c r="Q233" s="329"/>
    </row>
    <row r="234" spans="1:17">
      <c r="A234" s="323">
        <v>182</v>
      </c>
      <c r="B234" s="532">
        <v>3</v>
      </c>
      <c r="C234" s="533" t="s">
        <v>662</v>
      </c>
      <c r="D234" s="416" t="s">
        <v>190</v>
      </c>
      <c r="E234" s="371">
        <v>40560</v>
      </c>
      <c r="F234" s="534"/>
      <c r="G234" s="371"/>
      <c r="H234" s="535">
        <f t="shared" si="33"/>
        <v>0</v>
      </c>
      <c r="I234" s="421">
        <f t="shared" si="34"/>
        <v>0</v>
      </c>
      <c r="J234" s="534">
        <v>0.14000000000000001</v>
      </c>
      <c r="K234" s="363"/>
      <c r="L234" s="536">
        <f t="shared" si="35"/>
        <v>0</v>
      </c>
      <c r="M234" s="389"/>
      <c r="N234" s="389"/>
      <c r="O234" s="1745"/>
      <c r="P234" s="324"/>
      <c r="Q234" s="329"/>
    </row>
    <row r="235" spans="1:17">
      <c r="A235" s="323">
        <v>183</v>
      </c>
      <c r="B235" s="532"/>
      <c r="C235" s="533"/>
      <c r="D235" s="416" t="s">
        <v>191</v>
      </c>
      <c r="E235" s="371">
        <v>46560</v>
      </c>
      <c r="F235" s="534"/>
      <c r="G235" s="371"/>
      <c r="H235" s="535">
        <f t="shared" si="33"/>
        <v>0</v>
      </c>
      <c r="I235" s="421">
        <f t="shared" si="34"/>
        <v>0</v>
      </c>
      <c r="J235" s="534">
        <v>0.16</v>
      </c>
      <c r="K235" s="363"/>
      <c r="L235" s="536">
        <f t="shared" si="35"/>
        <v>0</v>
      </c>
      <c r="M235" s="389"/>
      <c r="N235" s="389"/>
      <c r="O235" s="1745"/>
      <c r="P235" s="324"/>
      <c r="Q235" s="329"/>
    </row>
    <row r="236" spans="1:17">
      <c r="A236" s="323">
        <v>184</v>
      </c>
      <c r="B236" s="532">
        <v>4</v>
      </c>
      <c r="C236" s="533" t="s">
        <v>663</v>
      </c>
      <c r="D236" s="416" t="s">
        <v>664</v>
      </c>
      <c r="E236" s="371">
        <v>51500</v>
      </c>
      <c r="F236" s="534"/>
      <c r="G236" s="371"/>
      <c r="H236" s="535">
        <f t="shared" si="33"/>
        <v>0</v>
      </c>
      <c r="I236" s="421">
        <f t="shared" si="34"/>
        <v>0</v>
      </c>
      <c r="J236" s="534">
        <v>0.2</v>
      </c>
      <c r="K236" s="363"/>
      <c r="L236" s="536">
        <f t="shared" si="35"/>
        <v>0</v>
      </c>
      <c r="M236" s="389"/>
      <c r="N236" s="389"/>
      <c r="O236" s="1745"/>
      <c r="P236" s="324"/>
      <c r="Q236" s="329"/>
    </row>
    <row r="237" spans="1:17">
      <c r="A237" s="323">
        <v>185</v>
      </c>
      <c r="B237" s="532"/>
      <c r="C237" s="533"/>
      <c r="D237" s="416" t="s">
        <v>665</v>
      </c>
      <c r="E237" s="371">
        <v>61000</v>
      </c>
      <c r="F237" s="534"/>
      <c r="G237" s="371"/>
      <c r="H237" s="535">
        <f t="shared" si="33"/>
        <v>0</v>
      </c>
      <c r="I237" s="421">
        <f t="shared" si="34"/>
        <v>0</v>
      </c>
      <c r="J237" s="534">
        <v>0.2</v>
      </c>
      <c r="K237" s="363"/>
      <c r="L237" s="536">
        <f t="shared" si="35"/>
        <v>0</v>
      </c>
      <c r="M237" s="389"/>
      <c r="N237" s="389"/>
      <c r="O237" s="1745"/>
      <c r="P237" s="324"/>
      <c r="Q237" s="329"/>
    </row>
    <row r="238" spans="1:17">
      <c r="A238" s="323">
        <v>186</v>
      </c>
      <c r="B238" s="449">
        <v>5</v>
      </c>
      <c r="C238" s="490" t="s">
        <v>666</v>
      </c>
      <c r="D238" s="387"/>
      <c r="E238" s="371">
        <v>121000</v>
      </c>
      <c r="F238" s="534"/>
      <c r="G238" s="371"/>
      <c r="H238" s="535">
        <f t="shared" si="33"/>
        <v>0</v>
      </c>
      <c r="I238" s="421">
        <f t="shared" si="34"/>
        <v>0</v>
      </c>
      <c r="J238" s="534">
        <v>0.2</v>
      </c>
      <c r="K238" s="363"/>
      <c r="L238" s="536">
        <f t="shared" si="35"/>
        <v>0</v>
      </c>
      <c r="M238" s="389"/>
      <c r="N238" s="389"/>
      <c r="O238" s="1745"/>
      <c r="P238" s="324"/>
      <c r="Q238" s="329"/>
    </row>
    <row r="239" spans="1:17">
      <c r="A239" s="323">
        <v>187</v>
      </c>
      <c r="B239" s="537" t="s">
        <v>667</v>
      </c>
      <c r="C239" s="538"/>
      <c r="D239" s="416"/>
      <c r="E239" s="439"/>
      <c r="F239" s="439"/>
      <c r="G239" s="439"/>
      <c r="H239" s="440"/>
      <c r="I239" s="441"/>
      <c r="J239" s="417"/>
      <c r="K239" s="424"/>
      <c r="L239" s="425"/>
      <c r="M239" s="389"/>
      <c r="N239" s="389"/>
      <c r="O239" s="359"/>
      <c r="P239" s="324"/>
      <c r="Q239" s="329"/>
    </row>
    <row r="240" spans="1:17" s="1054" customFormat="1" ht="67.5">
      <c r="A240" s="323">
        <v>188</v>
      </c>
      <c r="B240" s="498" t="s">
        <v>652</v>
      </c>
      <c r="C240" s="525" t="s">
        <v>668</v>
      </c>
      <c r="D240" s="407"/>
      <c r="E240" s="411" t="s">
        <v>513</v>
      </c>
      <c r="F240" s="411" t="s">
        <v>514</v>
      </c>
      <c r="G240" s="411" t="s">
        <v>515</v>
      </c>
      <c r="H240" s="411" t="s">
        <v>516</v>
      </c>
      <c r="I240" s="412" t="s">
        <v>517</v>
      </c>
      <c r="J240" s="411" t="s">
        <v>669</v>
      </c>
      <c r="K240" s="411" t="s">
        <v>670</v>
      </c>
      <c r="L240" s="411"/>
      <c r="M240" s="411" t="s">
        <v>671</v>
      </c>
      <c r="N240" s="531"/>
      <c r="O240" s="539"/>
      <c r="P240" s="324"/>
      <c r="Q240" s="329"/>
    </row>
    <row r="241" spans="1:17">
      <c r="A241" s="323">
        <v>189</v>
      </c>
      <c r="B241" s="540"/>
      <c r="C241" s="415"/>
      <c r="D241" s="541"/>
      <c r="E241" s="541"/>
      <c r="F241" s="541"/>
      <c r="G241" s="541"/>
      <c r="H241" s="542"/>
      <c r="I241" s="543"/>
      <c r="J241" s="541"/>
      <c r="K241" s="544"/>
      <c r="L241" s="544"/>
      <c r="M241" s="543"/>
      <c r="N241" s="545"/>
      <c r="O241" s="546"/>
      <c r="P241" s="324"/>
      <c r="Q241" s="329"/>
    </row>
    <row r="242" spans="1:17" ht="22.5">
      <c r="A242" s="323">
        <v>190</v>
      </c>
      <c r="B242" s="547"/>
      <c r="C242" s="548" t="s">
        <v>672</v>
      </c>
      <c r="D242" s="387"/>
      <c r="I242" s="549"/>
      <c r="J242" s="387"/>
      <c r="K242" s="550"/>
      <c r="L242" s="550"/>
      <c r="M242" s="549"/>
      <c r="N242" s="551"/>
      <c r="O242" s="552" t="s">
        <v>673</v>
      </c>
      <c r="P242" s="324"/>
      <c r="Q242" s="329"/>
    </row>
    <row r="243" spans="1:17" ht="33.75">
      <c r="A243" s="323">
        <v>191</v>
      </c>
      <c r="B243" s="348"/>
      <c r="C243" s="486" t="s">
        <v>674</v>
      </c>
      <c r="D243" s="387"/>
      <c r="E243" s="371">
        <v>102000</v>
      </c>
      <c r="F243" s="534"/>
      <c r="G243" s="371"/>
      <c r="H243" s="535">
        <f>IF(E243+(F243*E243+G243)=E243,0,G243+F243*E243)</f>
        <v>0</v>
      </c>
      <c r="I243" s="421">
        <f>IF(E243+H243=E243,0,E243+H243)</f>
        <v>0</v>
      </c>
      <c r="J243" s="553"/>
      <c r="K243" s="554"/>
      <c r="L243" s="554"/>
      <c r="M243" s="555"/>
      <c r="N243" s="556"/>
      <c r="O243" s="552" t="s">
        <v>675</v>
      </c>
      <c r="P243" s="324"/>
      <c r="Q243" s="329"/>
    </row>
    <row r="244" spans="1:17" ht="22.5">
      <c r="A244" s="323">
        <v>192</v>
      </c>
      <c r="B244" s="547"/>
      <c r="C244" s="486" t="s">
        <v>676</v>
      </c>
      <c r="D244" s="387"/>
      <c r="E244" s="371">
        <v>109500</v>
      </c>
      <c r="F244" s="534"/>
      <c r="G244" s="371"/>
      <c r="H244" s="535">
        <f t="shared" ref="H244:H258" si="36">IF(E244+(F244*E244+G244)=E244,0,G244+F244*E244)</f>
        <v>0</v>
      </c>
      <c r="I244" s="421">
        <f t="shared" ref="I244:I258" si="37">IF(E244+H244=E244,0,E244+H244)</f>
        <v>0</v>
      </c>
      <c r="J244" s="553"/>
      <c r="K244" s="554"/>
      <c r="L244" s="554"/>
      <c r="M244" s="555"/>
      <c r="N244" s="556"/>
      <c r="O244" s="552" t="s">
        <v>677</v>
      </c>
      <c r="P244" s="324"/>
      <c r="Q244" s="329"/>
    </row>
    <row r="245" spans="1:17">
      <c r="A245" s="323">
        <v>193</v>
      </c>
      <c r="B245" s="547"/>
      <c r="C245" s="548" t="s">
        <v>678</v>
      </c>
      <c r="D245" s="387"/>
      <c r="E245" s="557"/>
      <c r="F245" s="534"/>
      <c r="G245" s="371"/>
      <c r="H245" s="535"/>
      <c r="I245" s="421"/>
      <c r="J245" s="553"/>
      <c r="K245" s="554"/>
      <c r="L245" s="554"/>
      <c r="M245" s="555"/>
      <c r="N245" s="556"/>
      <c r="O245" s="552"/>
      <c r="P245" s="324"/>
      <c r="Q245" s="329"/>
    </row>
    <row r="246" spans="1:17">
      <c r="A246" s="323">
        <v>194</v>
      </c>
      <c r="B246" s="348"/>
      <c r="C246" s="486" t="s">
        <v>679</v>
      </c>
      <c r="D246" s="387"/>
      <c r="E246" s="371">
        <v>65900</v>
      </c>
      <c r="F246" s="534"/>
      <c r="G246" s="371"/>
      <c r="H246" s="535">
        <f t="shared" si="36"/>
        <v>0</v>
      </c>
      <c r="I246" s="421">
        <f t="shared" si="37"/>
        <v>0</v>
      </c>
      <c r="J246" s="558">
        <v>6000</v>
      </c>
      <c r="K246" s="363"/>
      <c r="L246" s="559"/>
      <c r="M246" s="421">
        <f>IF(J246+(K246*J246+L246)=J246,0,L246+K246*J246)</f>
        <v>0</v>
      </c>
      <c r="N246" s="421">
        <f>IF(J246+M246=J246,0,J246+M246)</f>
        <v>0</v>
      </c>
      <c r="O246" s="552"/>
      <c r="P246" s="324"/>
      <c r="Q246" s="329"/>
    </row>
    <row r="247" spans="1:17">
      <c r="A247" s="323">
        <v>195</v>
      </c>
      <c r="B247" s="547"/>
      <c r="C247" s="486" t="s">
        <v>680</v>
      </c>
      <c r="D247" s="387"/>
      <c r="E247" s="371">
        <v>80900</v>
      </c>
      <c r="F247" s="534"/>
      <c r="G247" s="371"/>
      <c r="H247" s="535">
        <f t="shared" si="36"/>
        <v>0</v>
      </c>
      <c r="I247" s="421">
        <f t="shared" si="37"/>
        <v>0</v>
      </c>
      <c r="J247" s="558">
        <v>6000</v>
      </c>
      <c r="K247" s="363"/>
      <c r="L247" s="559"/>
      <c r="M247" s="421">
        <f t="shared" ref="M247:M258" si="38">IF(J247+(K247*J247+L247)=J247,0,L247+K247*J247)</f>
        <v>0</v>
      </c>
      <c r="N247" s="421">
        <f t="shared" ref="N247:N258" si="39">IF(J247+M247=J247,0,J247+M247)</f>
        <v>0</v>
      </c>
      <c r="O247" s="1704" t="s">
        <v>681</v>
      </c>
      <c r="P247" s="324"/>
      <c r="Q247" s="329"/>
    </row>
    <row r="248" spans="1:17">
      <c r="A248" s="323">
        <v>196</v>
      </c>
      <c r="B248" s="547"/>
      <c r="C248" s="486" t="s">
        <v>682</v>
      </c>
      <c r="D248" s="387"/>
      <c r="E248" s="371">
        <v>92400</v>
      </c>
      <c r="F248" s="534"/>
      <c r="G248" s="371"/>
      <c r="H248" s="535">
        <f t="shared" si="36"/>
        <v>0</v>
      </c>
      <c r="I248" s="421">
        <f t="shared" si="37"/>
        <v>0</v>
      </c>
      <c r="J248" s="558">
        <v>6000</v>
      </c>
      <c r="K248" s="363"/>
      <c r="L248" s="559"/>
      <c r="M248" s="421">
        <f t="shared" si="38"/>
        <v>0</v>
      </c>
      <c r="N248" s="421">
        <f t="shared" si="39"/>
        <v>0</v>
      </c>
      <c r="O248" s="1704"/>
      <c r="P248" s="324"/>
      <c r="Q248" s="329"/>
    </row>
    <row r="249" spans="1:17">
      <c r="A249" s="323">
        <v>197</v>
      </c>
      <c r="B249" s="547"/>
      <c r="C249" s="548" t="s">
        <v>683</v>
      </c>
      <c r="D249" s="387"/>
      <c r="E249" s="557"/>
      <c r="F249" s="534"/>
      <c r="G249" s="371"/>
      <c r="H249" s="535">
        <f t="shared" si="36"/>
        <v>0</v>
      </c>
      <c r="I249" s="421">
        <f t="shared" si="37"/>
        <v>0</v>
      </c>
      <c r="J249" s="558"/>
      <c r="K249" s="363"/>
      <c r="L249" s="559"/>
      <c r="M249" s="421"/>
      <c r="N249" s="421"/>
      <c r="O249" s="1704"/>
      <c r="P249" s="324"/>
      <c r="Q249" s="329"/>
    </row>
    <row r="250" spans="1:17">
      <c r="A250" s="323">
        <v>198</v>
      </c>
      <c r="B250" s="348"/>
      <c r="C250" s="486" t="s">
        <v>684</v>
      </c>
      <c r="D250" s="387"/>
      <c r="E250" s="371">
        <v>46000</v>
      </c>
      <c r="F250" s="534"/>
      <c r="G250" s="371"/>
      <c r="H250" s="535">
        <f t="shared" si="36"/>
        <v>0</v>
      </c>
      <c r="I250" s="421">
        <f t="shared" si="37"/>
        <v>0</v>
      </c>
      <c r="J250" s="558">
        <v>6000</v>
      </c>
      <c r="K250" s="363"/>
      <c r="L250" s="559"/>
      <c r="M250" s="421">
        <f t="shared" si="38"/>
        <v>0</v>
      </c>
      <c r="N250" s="421">
        <f t="shared" si="39"/>
        <v>0</v>
      </c>
      <c r="O250" s="1704"/>
      <c r="P250" s="324"/>
      <c r="Q250" s="329"/>
    </row>
    <row r="251" spans="1:17">
      <c r="A251" s="323">
        <v>199</v>
      </c>
      <c r="B251" s="547"/>
      <c r="C251" s="486" t="s">
        <v>685</v>
      </c>
      <c r="D251" s="387"/>
      <c r="E251" s="371">
        <v>48300</v>
      </c>
      <c r="F251" s="534"/>
      <c r="G251" s="371"/>
      <c r="H251" s="535">
        <f t="shared" si="36"/>
        <v>0</v>
      </c>
      <c r="I251" s="421">
        <f t="shared" si="37"/>
        <v>0</v>
      </c>
      <c r="J251" s="558">
        <v>6000</v>
      </c>
      <c r="K251" s="363"/>
      <c r="L251" s="559"/>
      <c r="M251" s="421">
        <f t="shared" si="38"/>
        <v>0</v>
      </c>
      <c r="N251" s="421">
        <f t="shared" si="39"/>
        <v>0</v>
      </c>
      <c r="O251" s="1704"/>
      <c r="P251" s="324"/>
      <c r="Q251" s="329"/>
    </row>
    <row r="252" spans="1:17">
      <c r="A252" s="323">
        <v>200</v>
      </c>
      <c r="B252" s="547"/>
      <c r="C252" s="486" t="s">
        <v>686</v>
      </c>
      <c r="D252" s="387"/>
      <c r="E252" s="371">
        <v>54250</v>
      </c>
      <c r="F252" s="534"/>
      <c r="G252" s="371"/>
      <c r="H252" s="535">
        <f t="shared" si="36"/>
        <v>0</v>
      </c>
      <c r="I252" s="421">
        <f t="shared" si="37"/>
        <v>0</v>
      </c>
      <c r="J252" s="558">
        <v>6000</v>
      </c>
      <c r="K252" s="363"/>
      <c r="L252" s="559"/>
      <c r="M252" s="421">
        <f t="shared" si="38"/>
        <v>0</v>
      </c>
      <c r="N252" s="421">
        <f t="shared" si="39"/>
        <v>0</v>
      </c>
      <c r="O252" s="1704"/>
      <c r="P252" s="324"/>
      <c r="Q252" s="329"/>
    </row>
    <row r="253" spans="1:17">
      <c r="A253" s="323">
        <v>201</v>
      </c>
      <c r="B253" s="547"/>
      <c r="C253" s="548" t="s">
        <v>687</v>
      </c>
      <c r="D253" s="387"/>
      <c r="E253" s="371"/>
      <c r="F253" s="534"/>
      <c r="G253" s="371"/>
      <c r="H253" s="535"/>
      <c r="I253" s="421"/>
      <c r="J253" s="558"/>
      <c r="K253" s="363"/>
      <c r="L253" s="559"/>
      <c r="M253" s="421"/>
      <c r="N253" s="421"/>
      <c r="O253" s="1704"/>
      <c r="P253" s="324"/>
      <c r="Q253" s="329"/>
    </row>
    <row r="254" spans="1:17">
      <c r="A254" s="323">
        <v>202</v>
      </c>
      <c r="B254" s="348"/>
      <c r="C254" s="490" t="s">
        <v>688</v>
      </c>
      <c r="D254" s="387"/>
      <c r="E254" s="371">
        <v>31350</v>
      </c>
      <c r="F254" s="534"/>
      <c r="G254" s="371"/>
      <c r="H254" s="535">
        <f t="shared" si="36"/>
        <v>0</v>
      </c>
      <c r="I254" s="421">
        <f t="shared" si="37"/>
        <v>0</v>
      </c>
      <c r="J254" s="558">
        <v>7000</v>
      </c>
      <c r="K254" s="363"/>
      <c r="L254" s="559"/>
      <c r="M254" s="421">
        <f t="shared" si="38"/>
        <v>0</v>
      </c>
      <c r="N254" s="421">
        <f t="shared" si="39"/>
        <v>0</v>
      </c>
      <c r="O254" s="1704"/>
      <c r="P254" s="324"/>
      <c r="Q254" s="329"/>
    </row>
    <row r="255" spans="1:17">
      <c r="A255" s="323">
        <v>203</v>
      </c>
      <c r="B255" s="547"/>
      <c r="C255" s="486" t="s">
        <v>689</v>
      </c>
      <c r="D255" s="387"/>
      <c r="E255" s="371">
        <v>32400</v>
      </c>
      <c r="F255" s="534"/>
      <c r="G255" s="371"/>
      <c r="H255" s="535">
        <f t="shared" si="36"/>
        <v>0</v>
      </c>
      <c r="I255" s="421">
        <f t="shared" si="37"/>
        <v>0</v>
      </c>
      <c r="J255" s="558">
        <v>7000</v>
      </c>
      <c r="K255" s="363"/>
      <c r="L255" s="559"/>
      <c r="M255" s="421">
        <f t="shared" si="38"/>
        <v>0</v>
      </c>
      <c r="N255" s="421">
        <f t="shared" si="39"/>
        <v>0</v>
      </c>
      <c r="O255" s="552"/>
      <c r="P255" s="324"/>
      <c r="Q255" s="329"/>
    </row>
    <row r="256" spans="1:17">
      <c r="A256" s="323">
        <v>204</v>
      </c>
      <c r="B256" s="547"/>
      <c r="C256" s="486" t="s">
        <v>690</v>
      </c>
      <c r="D256" s="387"/>
      <c r="E256" s="371">
        <v>33600</v>
      </c>
      <c r="F256" s="534"/>
      <c r="G256" s="371"/>
      <c r="H256" s="535">
        <f t="shared" si="36"/>
        <v>0</v>
      </c>
      <c r="I256" s="421">
        <f t="shared" si="37"/>
        <v>0</v>
      </c>
      <c r="J256" s="558">
        <v>8000</v>
      </c>
      <c r="K256" s="363"/>
      <c r="L256" s="559"/>
      <c r="M256" s="421">
        <f t="shared" si="38"/>
        <v>0</v>
      </c>
      <c r="N256" s="421">
        <f t="shared" si="39"/>
        <v>0</v>
      </c>
      <c r="O256" s="552"/>
      <c r="P256" s="324"/>
      <c r="Q256" s="329"/>
    </row>
    <row r="257" spans="1:17">
      <c r="A257" s="323">
        <v>205</v>
      </c>
      <c r="B257" s="547"/>
      <c r="C257" s="486" t="s">
        <v>700</v>
      </c>
      <c r="D257" s="387"/>
      <c r="E257" s="371">
        <v>35000</v>
      </c>
      <c r="F257" s="534"/>
      <c r="G257" s="371"/>
      <c r="H257" s="535">
        <f t="shared" si="36"/>
        <v>0</v>
      </c>
      <c r="I257" s="421">
        <f t="shared" si="37"/>
        <v>0</v>
      </c>
      <c r="J257" s="558">
        <v>8000</v>
      </c>
      <c r="K257" s="363"/>
      <c r="L257" s="559"/>
      <c r="M257" s="421">
        <f t="shared" si="38"/>
        <v>0</v>
      </c>
      <c r="N257" s="421">
        <f t="shared" si="39"/>
        <v>0</v>
      </c>
      <c r="O257" s="552"/>
      <c r="P257" s="324"/>
      <c r="Q257" s="329"/>
    </row>
    <row r="258" spans="1:17">
      <c r="A258" s="323">
        <v>206</v>
      </c>
      <c r="B258" s="547"/>
      <c r="C258" s="486" t="s">
        <v>701</v>
      </c>
      <c r="D258" s="387"/>
      <c r="E258" s="371">
        <v>36100</v>
      </c>
      <c r="F258" s="534"/>
      <c r="G258" s="371"/>
      <c r="H258" s="535">
        <f t="shared" si="36"/>
        <v>0</v>
      </c>
      <c r="I258" s="421">
        <f t="shared" si="37"/>
        <v>0</v>
      </c>
      <c r="J258" s="558">
        <v>8000</v>
      </c>
      <c r="K258" s="363"/>
      <c r="L258" s="559"/>
      <c r="M258" s="421">
        <f t="shared" si="38"/>
        <v>0</v>
      </c>
      <c r="N258" s="421">
        <f t="shared" si="39"/>
        <v>0</v>
      </c>
      <c r="O258" s="552"/>
      <c r="P258" s="324"/>
      <c r="Q258" s="329"/>
    </row>
    <row r="259" spans="1:17">
      <c r="A259" s="323">
        <v>207</v>
      </c>
      <c r="B259" s="547"/>
      <c r="C259" s="486"/>
      <c r="D259" s="387"/>
      <c r="E259" s="390"/>
      <c r="F259" s="390"/>
      <c r="G259" s="390"/>
      <c r="H259" s="450"/>
      <c r="I259" s="441"/>
      <c r="J259" s="560"/>
      <c r="K259" s="554"/>
      <c r="L259" s="554"/>
      <c r="M259" s="555"/>
      <c r="N259" s="556"/>
      <c r="O259" s="552"/>
      <c r="P259" s="324"/>
      <c r="Q259" s="329"/>
    </row>
    <row r="260" spans="1:17" s="1054" customFormat="1" ht="56.25">
      <c r="A260" s="323">
        <v>208</v>
      </c>
      <c r="B260" s="498"/>
      <c r="C260" s="525" t="s">
        <v>702</v>
      </c>
      <c r="D260" s="407"/>
      <c r="E260" s="411" t="s">
        <v>513</v>
      </c>
      <c r="F260" s="411" t="s">
        <v>514</v>
      </c>
      <c r="G260" s="411" t="s">
        <v>515</v>
      </c>
      <c r="H260" s="411" t="s">
        <v>516</v>
      </c>
      <c r="I260" s="412" t="s">
        <v>517</v>
      </c>
      <c r="J260" s="561"/>
      <c r="K260" s="561"/>
      <c r="L260" s="561"/>
      <c r="M260" s="561"/>
      <c r="N260" s="562"/>
      <c r="O260" s="563"/>
      <c r="P260" s="324"/>
      <c r="Q260" s="329"/>
    </row>
    <row r="261" spans="1:17" ht="11.25" customHeight="1">
      <c r="A261" s="323">
        <v>209</v>
      </c>
      <c r="B261" s="414">
        <v>1</v>
      </c>
      <c r="C261" s="533" t="s">
        <v>192</v>
      </c>
      <c r="D261" s="541" t="s">
        <v>150</v>
      </c>
      <c r="E261" s="417"/>
      <c r="F261" s="417"/>
      <c r="G261" s="417"/>
      <c r="H261" s="418"/>
      <c r="I261" s="419"/>
      <c r="J261" s="1705" t="s">
        <v>703</v>
      </c>
      <c r="K261" s="1706"/>
      <c r="L261" s="1706"/>
      <c r="M261" s="1706"/>
      <c r="N261" s="1707"/>
      <c r="O261" s="564"/>
      <c r="P261" s="324"/>
    </row>
    <row r="262" spans="1:17">
      <c r="A262" s="323">
        <v>210</v>
      </c>
      <c r="B262" s="414">
        <v>2</v>
      </c>
      <c r="C262" s="533" t="s">
        <v>704</v>
      </c>
      <c r="D262" s="541" t="s">
        <v>151</v>
      </c>
      <c r="E262" s="417"/>
      <c r="F262" s="417"/>
      <c r="G262" s="417"/>
      <c r="H262" s="418"/>
      <c r="I262" s="419"/>
      <c r="J262" s="1705"/>
      <c r="K262" s="1706"/>
      <c r="L262" s="1706"/>
      <c r="M262" s="1706"/>
      <c r="N262" s="1707"/>
      <c r="O262" s="564"/>
      <c r="P262" s="324"/>
    </row>
    <row r="263" spans="1:17" ht="22.5">
      <c r="A263" s="323">
        <v>211</v>
      </c>
      <c r="B263" s="414">
        <v>3</v>
      </c>
      <c r="C263" s="533" t="s">
        <v>705</v>
      </c>
      <c r="D263" s="541" t="s">
        <v>650</v>
      </c>
      <c r="E263" s="371">
        <v>36700</v>
      </c>
      <c r="F263" s="534"/>
      <c r="G263" s="371"/>
      <c r="H263" s="535">
        <f>IF(E263+(F263*E263+G263)=E263,0,G263+F263*E263)</f>
        <v>0</v>
      </c>
      <c r="I263" s="421">
        <f>IF(E263+H263=E263,0,E263+H263)</f>
        <v>0</v>
      </c>
      <c r="J263" s="1705"/>
      <c r="K263" s="1706"/>
      <c r="L263" s="1706"/>
      <c r="M263" s="1706"/>
      <c r="N263" s="1707"/>
      <c r="O263" s="564"/>
      <c r="P263" s="324"/>
    </row>
    <row r="264" spans="1:17" ht="22.5">
      <c r="A264" s="323">
        <v>212</v>
      </c>
      <c r="B264" s="414">
        <v>4</v>
      </c>
      <c r="C264" s="533" t="s">
        <v>706</v>
      </c>
      <c r="D264" s="541" t="s">
        <v>649</v>
      </c>
      <c r="E264" s="371">
        <v>34500</v>
      </c>
      <c r="F264" s="534"/>
      <c r="G264" s="371"/>
      <c r="H264" s="535">
        <f t="shared" ref="H264:H271" si="40">IF(E264+(F264*E264+G264)=E264,0,G264+F264*E264)</f>
        <v>0</v>
      </c>
      <c r="I264" s="421">
        <f t="shared" ref="I264:I271" si="41">IF(E264+H264=E264,0,E264+H264)</f>
        <v>0</v>
      </c>
      <c r="J264" s="1705"/>
      <c r="K264" s="1706"/>
      <c r="L264" s="1706"/>
      <c r="M264" s="1706"/>
      <c r="N264" s="1707"/>
      <c r="O264" s="564"/>
      <c r="P264" s="324"/>
    </row>
    <row r="265" spans="1:17">
      <c r="A265" s="323">
        <v>213</v>
      </c>
      <c r="B265" s="414"/>
      <c r="C265" s="533" t="s">
        <v>707</v>
      </c>
      <c r="D265" s="541" t="s">
        <v>648</v>
      </c>
      <c r="E265" s="371">
        <v>31300</v>
      </c>
      <c r="F265" s="534"/>
      <c r="G265" s="371"/>
      <c r="H265" s="535">
        <f t="shared" si="40"/>
        <v>0</v>
      </c>
      <c r="I265" s="421">
        <f t="shared" si="41"/>
        <v>0</v>
      </c>
      <c r="J265" s="1705"/>
      <c r="K265" s="1706"/>
      <c r="L265" s="1706"/>
      <c r="M265" s="1706"/>
      <c r="N265" s="1707"/>
      <c r="O265" s="564"/>
      <c r="P265" s="324"/>
    </row>
    <row r="266" spans="1:17" ht="22.5">
      <c r="A266" s="323">
        <v>214</v>
      </c>
      <c r="B266" s="414">
        <v>5</v>
      </c>
      <c r="C266" s="533" t="s">
        <v>708</v>
      </c>
      <c r="D266" s="541" t="s">
        <v>647</v>
      </c>
      <c r="E266" s="371">
        <v>29300</v>
      </c>
      <c r="F266" s="534"/>
      <c r="G266" s="371"/>
      <c r="H266" s="535">
        <f t="shared" si="40"/>
        <v>0</v>
      </c>
      <c r="I266" s="421">
        <f t="shared" si="41"/>
        <v>0</v>
      </c>
      <c r="J266" s="1705"/>
      <c r="K266" s="1706"/>
      <c r="L266" s="1706"/>
      <c r="M266" s="1706"/>
      <c r="N266" s="1707"/>
      <c r="O266" s="564"/>
      <c r="P266" s="324"/>
    </row>
    <row r="267" spans="1:17">
      <c r="A267" s="323">
        <v>215</v>
      </c>
      <c r="B267" s="414">
        <v>6</v>
      </c>
      <c r="C267" s="533" t="s">
        <v>216</v>
      </c>
      <c r="D267" s="541" t="s">
        <v>493</v>
      </c>
      <c r="E267" s="371">
        <v>19900</v>
      </c>
      <c r="F267" s="534"/>
      <c r="G267" s="371"/>
      <c r="H267" s="535">
        <f t="shared" si="40"/>
        <v>0</v>
      </c>
      <c r="I267" s="421">
        <f t="shared" si="41"/>
        <v>0</v>
      </c>
      <c r="J267" s="1705"/>
      <c r="K267" s="1706"/>
      <c r="L267" s="1706"/>
      <c r="M267" s="1706"/>
      <c r="N267" s="1707"/>
      <c r="O267" s="564"/>
      <c r="P267" s="324"/>
    </row>
    <row r="268" spans="1:17">
      <c r="A268" s="323">
        <v>216</v>
      </c>
      <c r="B268" s="414"/>
      <c r="C268" s="533" t="s">
        <v>709</v>
      </c>
      <c r="D268" s="541" t="s">
        <v>599</v>
      </c>
      <c r="E268" s="371">
        <v>18800</v>
      </c>
      <c r="F268" s="534"/>
      <c r="G268" s="371"/>
      <c r="H268" s="535">
        <f t="shared" si="40"/>
        <v>0</v>
      </c>
      <c r="I268" s="421">
        <f t="shared" si="41"/>
        <v>0</v>
      </c>
      <c r="J268" s="1705"/>
      <c r="K268" s="1706"/>
      <c r="L268" s="1706"/>
      <c r="M268" s="1706"/>
      <c r="N268" s="1707"/>
      <c r="O268" s="564"/>
      <c r="P268" s="324"/>
    </row>
    <row r="269" spans="1:17">
      <c r="A269" s="323">
        <v>217</v>
      </c>
      <c r="B269" s="414">
        <v>7</v>
      </c>
      <c r="C269" s="533" t="s">
        <v>710</v>
      </c>
      <c r="D269" s="541" t="s">
        <v>491</v>
      </c>
      <c r="E269" s="371">
        <v>17500</v>
      </c>
      <c r="F269" s="534"/>
      <c r="G269" s="371"/>
      <c r="H269" s="535">
        <f t="shared" si="40"/>
        <v>0</v>
      </c>
      <c r="I269" s="421">
        <f t="shared" si="41"/>
        <v>0</v>
      </c>
      <c r="J269" s="1705"/>
      <c r="K269" s="1706"/>
      <c r="L269" s="1706"/>
      <c r="M269" s="1706"/>
      <c r="N269" s="1707"/>
      <c r="O269" s="564"/>
      <c r="P269" s="324"/>
    </row>
    <row r="270" spans="1:17">
      <c r="A270" s="323">
        <v>218</v>
      </c>
      <c r="B270" s="414">
        <v>8</v>
      </c>
      <c r="C270" s="533" t="s">
        <v>711</v>
      </c>
      <c r="D270" s="541" t="s">
        <v>712</v>
      </c>
      <c r="E270" s="371">
        <v>16400</v>
      </c>
      <c r="F270" s="534"/>
      <c r="G270" s="371"/>
      <c r="H270" s="535">
        <f t="shared" si="40"/>
        <v>0</v>
      </c>
      <c r="I270" s="421">
        <f t="shared" si="41"/>
        <v>0</v>
      </c>
      <c r="J270" s="1705"/>
      <c r="K270" s="1706"/>
      <c r="L270" s="1706"/>
      <c r="M270" s="1706"/>
      <c r="N270" s="1707"/>
      <c r="O270" s="564"/>
      <c r="P270" s="324"/>
    </row>
    <row r="271" spans="1:17">
      <c r="A271" s="323">
        <v>219</v>
      </c>
      <c r="B271" s="414">
        <v>9</v>
      </c>
      <c r="C271" s="533" t="s">
        <v>713</v>
      </c>
      <c r="D271" s="541" t="s">
        <v>182</v>
      </c>
      <c r="E271" s="371">
        <v>16000</v>
      </c>
      <c r="F271" s="534"/>
      <c r="G271" s="371"/>
      <c r="H271" s="535">
        <f t="shared" si="40"/>
        <v>0</v>
      </c>
      <c r="I271" s="421">
        <f t="shared" si="41"/>
        <v>0</v>
      </c>
      <c r="J271" s="1705"/>
      <c r="K271" s="1706"/>
      <c r="L271" s="1706"/>
      <c r="M271" s="1706"/>
      <c r="N271" s="1707"/>
      <c r="O271" s="564"/>
      <c r="P271" s="324"/>
    </row>
    <row r="272" spans="1:17" s="1054" customFormat="1" ht="56.25">
      <c r="A272" s="323">
        <v>220</v>
      </c>
      <c r="B272" s="565"/>
      <c r="C272" s="525" t="s">
        <v>714</v>
      </c>
      <c r="D272" s="407"/>
      <c r="E272" s="411" t="s">
        <v>513</v>
      </c>
      <c r="F272" s="411" t="s">
        <v>514</v>
      </c>
      <c r="G272" s="411" t="s">
        <v>515</v>
      </c>
      <c r="H272" s="411" t="s">
        <v>516</v>
      </c>
      <c r="I272" s="412" t="s">
        <v>517</v>
      </c>
      <c r="J272" s="566"/>
      <c r="K272" s="566"/>
      <c r="L272" s="566"/>
      <c r="M272" s="566"/>
      <c r="N272" s="566"/>
      <c r="O272" s="563"/>
      <c r="P272" s="324"/>
      <c r="Q272" s="329"/>
    </row>
    <row r="273" spans="1:16" ht="11.25" customHeight="1">
      <c r="A273" s="323">
        <v>221</v>
      </c>
      <c r="B273" s="414"/>
      <c r="C273" s="567" t="s">
        <v>715</v>
      </c>
      <c r="D273" s="416"/>
      <c r="E273" s="375"/>
      <c r="F273" s="375"/>
      <c r="G273" s="375"/>
      <c r="H273" s="568"/>
      <c r="I273" s="421"/>
      <c r="J273" s="1708" t="s">
        <v>716</v>
      </c>
      <c r="K273" s="1709"/>
      <c r="L273" s="1709"/>
      <c r="M273" s="1709"/>
      <c r="N273" s="1710"/>
      <c r="O273" s="564"/>
      <c r="P273" s="324"/>
    </row>
    <row r="274" spans="1:16" ht="11.25" customHeight="1">
      <c r="A274" s="323">
        <v>222</v>
      </c>
      <c r="B274" s="449"/>
      <c r="C274" s="490" t="s">
        <v>717</v>
      </c>
      <c r="D274" s="387"/>
      <c r="E274" s="371">
        <v>102000</v>
      </c>
      <c r="F274" s="534"/>
      <c r="G274" s="371"/>
      <c r="H274" s="535">
        <f>IF(E274+(F274*E274+G274)=E274,0,G274+F274*E274)</f>
        <v>0</v>
      </c>
      <c r="I274" s="421">
        <f>IF(E274+H274=E274,0,E274+H274)</f>
        <v>0</v>
      </c>
      <c r="J274" s="1705"/>
      <c r="K274" s="1706"/>
      <c r="L274" s="1706"/>
      <c r="M274" s="1706"/>
      <c r="N274" s="1707"/>
      <c r="O274" s="564"/>
      <c r="P274" s="324"/>
    </row>
    <row r="275" spans="1:16" ht="11.25" customHeight="1">
      <c r="A275" s="323">
        <v>223</v>
      </c>
      <c r="B275" s="449"/>
      <c r="C275" s="490" t="s">
        <v>718</v>
      </c>
      <c r="D275" s="387"/>
      <c r="E275" s="371">
        <v>88700</v>
      </c>
      <c r="F275" s="534"/>
      <c r="G275" s="371"/>
      <c r="H275" s="535">
        <f t="shared" ref="H275:H291" si="42">IF(E275+(F275*E275+G275)=E275,0,G275+F275*E275)</f>
        <v>0</v>
      </c>
      <c r="I275" s="421">
        <f t="shared" ref="I275:I291" si="43">IF(E275+H275=E275,0,E275+H275)</f>
        <v>0</v>
      </c>
      <c r="J275" s="1705"/>
      <c r="K275" s="1706"/>
      <c r="L275" s="1706"/>
      <c r="M275" s="1706"/>
      <c r="N275" s="1707"/>
      <c r="O275" s="564"/>
      <c r="P275" s="324"/>
    </row>
    <row r="276" spans="1:16" ht="11.25" customHeight="1">
      <c r="A276" s="323">
        <v>224</v>
      </c>
      <c r="B276" s="449"/>
      <c r="C276" s="490" t="s">
        <v>719</v>
      </c>
      <c r="D276" s="387"/>
      <c r="E276" s="371">
        <v>78100</v>
      </c>
      <c r="F276" s="534"/>
      <c r="G276" s="371"/>
      <c r="H276" s="535">
        <f t="shared" si="42"/>
        <v>0</v>
      </c>
      <c r="I276" s="421">
        <f t="shared" si="43"/>
        <v>0</v>
      </c>
      <c r="J276" s="1705"/>
      <c r="K276" s="1706"/>
      <c r="L276" s="1706"/>
      <c r="M276" s="1706"/>
      <c r="N276" s="1707"/>
      <c r="O276" s="564"/>
      <c r="P276" s="324"/>
    </row>
    <row r="277" spans="1:16" ht="11.25" customHeight="1">
      <c r="A277" s="323">
        <v>225</v>
      </c>
      <c r="B277" s="449"/>
      <c r="C277" s="490" t="s">
        <v>720</v>
      </c>
      <c r="D277" s="387"/>
      <c r="E277" s="371">
        <v>64500</v>
      </c>
      <c r="F277" s="534"/>
      <c r="G277" s="371"/>
      <c r="H277" s="535">
        <f t="shared" si="42"/>
        <v>0</v>
      </c>
      <c r="I277" s="421">
        <f t="shared" si="43"/>
        <v>0</v>
      </c>
      <c r="J277" s="1705"/>
      <c r="K277" s="1706"/>
      <c r="L277" s="1706"/>
      <c r="M277" s="1706"/>
      <c r="N277" s="1707"/>
      <c r="O277" s="564"/>
      <c r="P277" s="324"/>
    </row>
    <row r="278" spans="1:16" ht="11.25" customHeight="1">
      <c r="A278" s="323">
        <v>226</v>
      </c>
      <c r="B278" s="348"/>
      <c r="C278" s="490" t="s">
        <v>721</v>
      </c>
      <c r="D278" s="387"/>
      <c r="E278" s="371">
        <v>52700</v>
      </c>
      <c r="F278" s="534"/>
      <c r="G278" s="371"/>
      <c r="H278" s="535">
        <f t="shared" si="42"/>
        <v>0</v>
      </c>
      <c r="I278" s="421">
        <f t="shared" si="43"/>
        <v>0</v>
      </c>
      <c r="J278" s="1705"/>
      <c r="K278" s="1706"/>
      <c r="L278" s="1706"/>
      <c r="M278" s="1706"/>
      <c r="N278" s="1707"/>
      <c r="O278" s="564"/>
      <c r="P278" s="324"/>
    </row>
    <row r="279" spans="1:16" ht="11.25" customHeight="1">
      <c r="A279" s="323">
        <v>227</v>
      </c>
      <c r="B279" s="348"/>
      <c r="C279" s="490" t="s">
        <v>722</v>
      </c>
      <c r="D279" s="387"/>
      <c r="E279" s="371">
        <v>49760</v>
      </c>
      <c r="F279" s="534"/>
      <c r="G279" s="371"/>
      <c r="H279" s="535">
        <f t="shared" si="42"/>
        <v>0</v>
      </c>
      <c r="I279" s="421">
        <f t="shared" si="43"/>
        <v>0</v>
      </c>
      <c r="J279" s="1705"/>
      <c r="K279" s="1706"/>
      <c r="L279" s="1706"/>
      <c r="M279" s="1706"/>
      <c r="N279" s="1707"/>
      <c r="O279" s="564"/>
      <c r="P279" s="324"/>
    </row>
    <row r="280" spans="1:16" ht="11.25" customHeight="1">
      <c r="A280" s="323">
        <v>228</v>
      </c>
      <c r="B280" s="348"/>
      <c r="C280" s="490" t="s">
        <v>723</v>
      </c>
      <c r="D280" s="387"/>
      <c r="E280" s="371">
        <v>46960</v>
      </c>
      <c r="F280" s="534"/>
      <c r="G280" s="371"/>
      <c r="H280" s="535">
        <f t="shared" si="42"/>
        <v>0</v>
      </c>
      <c r="I280" s="421">
        <f t="shared" si="43"/>
        <v>0</v>
      </c>
      <c r="J280" s="1705"/>
      <c r="K280" s="1706"/>
      <c r="L280" s="1706"/>
      <c r="M280" s="1706"/>
      <c r="N280" s="1707"/>
      <c r="O280" s="564"/>
      <c r="P280" s="324"/>
    </row>
    <row r="281" spans="1:16" ht="11.25" customHeight="1">
      <c r="A281" s="323">
        <v>229</v>
      </c>
      <c r="B281" s="348"/>
      <c r="C281" s="490" t="s">
        <v>724</v>
      </c>
      <c r="D281" s="387"/>
      <c r="E281" s="371">
        <v>45060</v>
      </c>
      <c r="F281" s="534"/>
      <c r="G281" s="371"/>
      <c r="H281" s="535">
        <f t="shared" si="42"/>
        <v>0</v>
      </c>
      <c r="I281" s="421">
        <f t="shared" si="43"/>
        <v>0</v>
      </c>
      <c r="J281" s="1705"/>
      <c r="K281" s="1706"/>
      <c r="L281" s="1706"/>
      <c r="M281" s="1706"/>
      <c r="N281" s="1707"/>
      <c r="O281" s="564"/>
      <c r="P281" s="324"/>
    </row>
    <row r="282" spans="1:16" ht="11.25" customHeight="1">
      <c r="A282" s="323">
        <v>230</v>
      </c>
      <c r="B282" s="348"/>
      <c r="C282" s="517" t="s">
        <v>725</v>
      </c>
      <c r="D282" s="387"/>
      <c r="E282" s="371"/>
      <c r="F282" s="534"/>
      <c r="G282" s="371"/>
      <c r="H282" s="535"/>
      <c r="I282" s="421"/>
      <c r="J282" s="1705"/>
      <c r="K282" s="1706"/>
      <c r="L282" s="1706"/>
      <c r="M282" s="1706"/>
      <c r="N282" s="1707"/>
      <c r="O282" s="564"/>
      <c r="P282" s="324"/>
    </row>
    <row r="283" spans="1:16" ht="11.25" customHeight="1">
      <c r="A283" s="323">
        <v>231</v>
      </c>
      <c r="B283" s="348"/>
      <c r="C283" s="490" t="s">
        <v>726</v>
      </c>
      <c r="D283" s="387"/>
      <c r="E283" s="371">
        <v>35960</v>
      </c>
      <c r="F283" s="534"/>
      <c r="G283" s="371"/>
      <c r="H283" s="535">
        <f t="shared" si="42"/>
        <v>0</v>
      </c>
      <c r="I283" s="421">
        <f t="shared" si="43"/>
        <v>0</v>
      </c>
      <c r="J283" s="1705"/>
      <c r="K283" s="1706"/>
      <c r="L283" s="1706"/>
      <c r="M283" s="1706"/>
      <c r="N283" s="1707"/>
      <c r="O283" s="564"/>
      <c r="P283" s="324"/>
    </row>
    <row r="284" spans="1:16" ht="11.25" customHeight="1">
      <c r="A284" s="323">
        <v>232</v>
      </c>
      <c r="B284" s="348"/>
      <c r="C284" s="490" t="s">
        <v>727</v>
      </c>
      <c r="D284" s="387"/>
      <c r="E284" s="371">
        <v>35200</v>
      </c>
      <c r="F284" s="534"/>
      <c r="G284" s="371"/>
      <c r="H284" s="535">
        <f t="shared" si="42"/>
        <v>0</v>
      </c>
      <c r="I284" s="421">
        <f t="shared" si="43"/>
        <v>0</v>
      </c>
      <c r="J284" s="1705"/>
      <c r="K284" s="1706"/>
      <c r="L284" s="1706"/>
      <c r="M284" s="1706"/>
      <c r="N284" s="1707"/>
      <c r="O284" s="564"/>
      <c r="P284" s="324"/>
    </row>
    <row r="285" spans="1:16" ht="11.25" customHeight="1">
      <c r="A285" s="323">
        <v>233</v>
      </c>
      <c r="B285" s="348"/>
      <c r="C285" s="490" t="s">
        <v>728</v>
      </c>
      <c r="D285" s="387"/>
      <c r="E285" s="371">
        <v>34700</v>
      </c>
      <c r="F285" s="534"/>
      <c r="G285" s="371"/>
      <c r="H285" s="535">
        <f t="shared" si="42"/>
        <v>0</v>
      </c>
      <c r="I285" s="421">
        <f t="shared" si="43"/>
        <v>0</v>
      </c>
      <c r="J285" s="1705"/>
      <c r="K285" s="1706"/>
      <c r="L285" s="1706"/>
      <c r="M285" s="1706"/>
      <c r="N285" s="1707"/>
      <c r="O285" s="564"/>
      <c r="P285" s="324"/>
    </row>
    <row r="286" spans="1:16" ht="11.25" customHeight="1">
      <c r="A286" s="323">
        <v>234</v>
      </c>
      <c r="B286" s="348"/>
      <c r="C286" s="490" t="s">
        <v>729</v>
      </c>
      <c r="D286" s="387"/>
      <c r="E286" s="371">
        <v>34160</v>
      </c>
      <c r="F286" s="534"/>
      <c r="G286" s="371"/>
      <c r="H286" s="535">
        <f t="shared" si="42"/>
        <v>0</v>
      </c>
      <c r="I286" s="421">
        <f t="shared" si="43"/>
        <v>0</v>
      </c>
      <c r="J286" s="1705"/>
      <c r="K286" s="1706"/>
      <c r="L286" s="1706"/>
      <c r="M286" s="1706"/>
      <c r="N286" s="1707"/>
      <c r="O286" s="564"/>
      <c r="P286" s="324"/>
    </row>
    <row r="287" spans="1:16" ht="11.25" customHeight="1">
      <c r="A287" s="323">
        <v>235</v>
      </c>
      <c r="B287" s="348"/>
      <c r="C287" s="490" t="s">
        <v>730</v>
      </c>
      <c r="D287" s="387"/>
      <c r="E287" s="371">
        <v>33560</v>
      </c>
      <c r="F287" s="534"/>
      <c r="G287" s="371"/>
      <c r="H287" s="535">
        <f t="shared" si="42"/>
        <v>0</v>
      </c>
      <c r="I287" s="421">
        <f t="shared" si="43"/>
        <v>0</v>
      </c>
      <c r="J287" s="1705"/>
      <c r="K287" s="1706"/>
      <c r="L287" s="1706"/>
      <c r="M287" s="1706"/>
      <c r="N287" s="1707"/>
      <c r="O287" s="564"/>
      <c r="P287" s="324"/>
    </row>
    <row r="288" spans="1:16" ht="11.25" customHeight="1">
      <c r="A288" s="323">
        <v>236</v>
      </c>
      <c r="B288" s="348"/>
      <c r="C288" s="490" t="s">
        <v>731</v>
      </c>
      <c r="D288" s="387"/>
      <c r="E288" s="371">
        <v>33100</v>
      </c>
      <c r="F288" s="534"/>
      <c r="G288" s="371"/>
      <c r="H288" s="535">
        <f t="shared" si="42"/>
        <v>0</v>
      </c>
      <c r="I288" s="421">
        <f t="shared" si="43"/>
        <v>0</v>
      </c>
      <c r="J288" s="1705"/>
      <c r="K288" s="1706"/>
      <c r="L288" s="1706"/>
      <c r="M288" s="1706"/>
      <c r="N288" s="1707"/>
      <c r="O288" s="564"/>
      <c r="P288" s="324"/>
    </row>
    <row r="289" spans="1:17" ht="11.25" customHeight="1">
      <c r="A289" s="323">
        <v>237</v>
      </c>
      <c r="B289" s="348"/>
      <c r="C289" s="490" t="s">
        <v>732</v>
      </c>
      <c r="D289" s="387"/>
      <c r="E289" s="371">
        <v>32700</v>
      </c>
      <c r="F289" s="534"/>
      <c r="G289" s="371"/>
      <c r="H289" s="535">
        <f t="shared" si="42"/>
        <v>0</v>
      </c>
      <c r="I289" s="421">
        <f t="shared" si="43"/>
        <v>0</v>
      </c>
      <c r="J289" s="1705"/>
      <c r="K289" s="1706"/>
      <c r="L289" s="1706"/>
      <c r="M289" s="1706"/>
      <c r="N289" s="1707"/>
      <c r="O289" s="564"/>
      <c r="P289" s="324"/>
    </row>
    <row r="290" spans="1:17" ht="11.25" customHeight="1">
      <c r="A290" s="323">
        <v>238</v>
      </c>
      <c r="B290" s="348"/>
      <c r="C290" s="490" t="s">
        <v>733</v>
      </c>
      <c r="D290" s="387"/>
      <c r="E290" s="371">
        <v>32160</v>
      </c>
      <c r="F290" s="534"/>
      <c r="G290" s="371"/>
      <c r="H290" s="535">
        <f t="shared" si="42"/>
        <v>0</v>
      </c>
      <c r="I290" s="421">
        <f t="shared" si="43"/>
        <v>0</v>
      </c>
      <c r="J290" s="1705"/>
      <c r="K290" s="1706"/>
      <c r="L290" s="1706"/>
      <c r="M290" s="1706"/>
      <c r="N290" s="1707"/>
      <c r="O290" s="564"/>
      <c r="P290" s="324"/>
    </row>
    <row r="291" spans="1:17" ht="11.25" customHeight="1">
      <c r="A291" s="323">
        <v>239</v>
      </c>
      <c r="B291" s="348"/>
      <c r="C291" s="490" t="s">
        <v>734</v>
      </c>
      <c r="D291" s="387"/>
      <c r="E291" s="371">
        <v>31600</v>
      </c>
      <c r="F291" s="534"/>
      <c r="G291" s="371"/>
      <c r="H291" s="535">
        <f t="shared" si="42"/>
        <v>0</v>
      </c>
      <c r="I291" s="421">
        <f t="shared" si="43"/>
        <v>0</v>
      </c>
      <c r="J291" s="1711"/>
      <c r="K291" s="1712"/>
      <c r="L291" s="1712"/>
      <c r="M291" s="1712"/>
      <c r="N291" s="1713"/>
      <c r="O291" s="564"/>
      <c r="P291" s="324"/>
    </row>
    <row r="292" spans="1:17" ht="56.25">
      <c r="A292" s="323">
        <v>240</v>
      </c>
      <c r="B292" s="453" t="s">
        <v>735</v>
      </c>
      <c r="C292" s="530" t="s">
        <v>736</v>
      </c>
      <c r="D292" s="407"/>
      <c r="E292" s="411" t="s">
        <v>513</v>
      </c>
      <c r="F292" s="411" t="s">
        <v>514</v>
      </c>
      <c r="G292" s="411" t="s">
        <v>515</v>
      </c>
      <c r="H292" s="411" t="s">
        <v>516</v>
      </c>
      <c r="I292" s="412" t="s">
        <v>517</v>
      </c>
      <c r="J292" s="569"/>
      <c r="K292" s="569"/>
      <c r="L292" s="569"/>
      <c r="M292" s="569"/>
      <c r="N292" s="569"/>
      <c r="O292" s="570"/>
      <c r="P292" s="324"/>
    </row>
    <row r="293" spans="1:17" ht="11.25" customHeight="1">
      <c r="A293" s="323">
        <v>241</v>
      </c>
      <c r="B293" s="547"/>
      <c r="C293" s="480" t="s">
        <v>737</v>
      </c>
      <c r="D293" s="387"/>
      <c r="E293" s="371">
        <v>38500</v>
      </c>
      <c r="F293" s="534"/>
      <c r="G293" s="371"/>
      <c r="H293" s="535">
        <f>IF(E293+(F293*E293+G293)=E293,0,G293+F293*E293)</f>
        <v>0</v>
      </c>
      <c r="I293" s="421">
        <f>IF(E293+H293=E293,0,E293+H293)</f>
        <v>0</v>
      </c>
      <c r="J293" s="1714" t="s">
        <v>738</v>
      </c>
      <c r="K293" s="1715"/>
      <c r="L293" s="1715"/>
      <c r="M293" s="1715"/>
      <c r="N293" s="1716"/>
      <c r="O293" s="571"/>
      <c r="P293" s="324"/>
    </row>
    <row r="294" spans="1:17">
      <c r="A294" s="323">
        <v>242</v>
      </c>
      <c r="B294" s="547"/>
      <c r="C294" s="480" t="s">
        <v>739</v>
      </c>
      <c r="D294" s="387"/>
      <c r="E294" s="371">
        <v>30000</v>
      </c>
      <c r="F294" s="534"/>
      <c r="G294" s="371"/>
      <c r="H294" s="535">
        <f t="shared" ref="H294:H303" si="44">IF(E294+(F294*E294+G294)=E294,0,G294+F294*E294)</f>
        <v>0</v>
      </c>
      <c r="I294" s="421">
        <f t="shared" ref="I294:I303" si="45">IF(E294+H294=E294,0,E294+H294)</f>
        <v>0</v>
      </c>
      <c r="J294" s="1717"/>
      <c r="K294" s="1718"/>
      <c r="L294" s="1718"/>
      <c r="M294" s="1718"/>
      <c r="N294" s="1719"/>
      <c r="O294" s="571"/>
      <c r="P294" s="324"/>
    </row>
    <row r="295" spans="1:17">
      <c r="A295" s="323">
        <v>243</v>
      </c>
      <c r="B295" s="547"/>
      <c r="C295" s="486" t="s">
        <v>740</v>
      </c>
      <c r="D295" s="387"/>
      <c r="E295" s="371">
        <v>24500</v>
      </c>
      <c r="F295" s="534"/>
      <c r="G295" s="371"/>
      <c r="H295" s="535">
        <f t="shared" si="44"/>
        <v>0</v>
      </c>
      <c r="I295" s="421">
        <f t="shared" si="45"/>
        <v>0</v>
      </c>
      <c r="J295" s="1717"/>
      <c r="K295" s="1718"/>
      <c r="L295" s="1718"/>
      <c r="M295" s="1718"/>
      <c r="N295" s="1719"/>
      <c r="O295" s="571"/>
      <c r="P295" s="324"/>
    </row>
    <row r="296" spans="1:17">
      <c r="A296" s="323">
        <v>244</v>
      </c>
      <c r="B296" s="547"/>
      <c r="C296" s="486" t="s">
        <v>741</v>
      </c>
      <c r="D296" s="387"/>
      <c r="E296" s="371">
        <v>24500</v>
      </c>
      <c r="F296" s="534"/>
      <c r="G296" s="371"/>
      <c r="H296" s="535">
        <f t="shared" si="44"/>
        <v>0</v>
      </c>
      <c r="I296" s="421">
        <f t="shared" si="45"/>
        <v>0</v>
      </c>
      <c r="J296" s="1717"/>
      <c r="K296" s="1718"/>
      <c r="L296" s="1718"/>
      <c r="M296" s="1718"/>
      <c r="N296" s="1719"/>
      <c r="O296" s="571"/>
      <c r="P296" s="324"/>
    </row>
    <row r="297" spans="1:17">
      <c r="A297" s="323">
        <v>245</v>
      </c>
      <c r="B297" s="348"/>
      <c r="C297" s="573" t="s">
        <v>742</v>
      </c>
      <c r="D297" s="387"/>
      <c r="E297" s="371">
        <v>22300</v>
      </c>
      <c r="F297" s="534"/>
      <c r="G297" s="371"/>
      <c r="H297" s="535">
        <f t="shared" si="44"/>
        <v>0</v>
      </c>
      <c r="I297" s="421">
        <f t="shared" si="45"/>
        <v>0</v>
      </c>
      <c r="J297" s="1717"/>
      <c r="K297" s="1718"/>
      <c r="L297" s="1718"/>
      <c r="M297" s="1718"/>
      <c r="N297" s="1719"/>
      <c r="O297" s="571"/>
      <c r="P297" s="324"/>
    </row>
    <row r="298" spans="1:17" ht="22.5">
      <c r="A298" s="323">
        <v>246</v>
      </c>
      <c r="B298" s="348"/>
      <c r="C298" s="573" t="s">
        <v>743</v>
      </c>
      <c r="D298" s="387"/>
      <c r="E298" s="371">
        <v>18800</v>
      </c>
      <c r="F298" s="534"/>
      <c r="G298" s="371"/>
      <c r="H298" s="535">
        <f t="shared" si="44"/>
        <v>0</v>
      </c>
      <c r="I298" s="421">
        <f t="shared" si="45"/>
        <v>0</v>
      </c>
      <c r="J298" s="1717"/>
      <c r="K298" s="1718"/>
      <c r="L298" s="1718"/>
      <c r="M298" s="1718"/>
      <c r="N298" s="1719"/>
      <c r="O298" s="571"/>
      <c r="P298" s="324"/>
    </row>
    <row r="299" spans="1:17">
      <c r="A299" s="323">
        <v>247</v>
      </c>
      <c r="B299" s="348"/>
      <c r="C299" s="573" t="s">
        <v>744</v>
      </c>
      <c r="D299" s="387"/>
      <c r="E299" s="371">
        <v>18800</v>
      </c>
      <c r="F299" s="534"/>
      <c r="G299" s="371"/>
      <c r="H299" s="535">
        <f t="shared" si="44"/>
        <v>0</v>
      </c>
      <c r="I299" s="421">
        <f t="shared" si="45"/>
        <v>0</v>
      </c>
      <c r="J299" s="1717"/>
      <c r="K299" s="1718"/>
      <c r="L299" s="1718"/>
      <c r="M299" s="1718"/>
      <c r="N299" s="1719"/>
      <c r="O299" s="571"/>
      <c r="P299" s="324"/>
    </row>
    <row r="300" spans="1:17">
      <c r="A300" s="323">
        <v>248</v>
      </c>
      <c r="B300" s="348"/>
      <c r="C300" s="573" t="s">
        <v>745</v>
      </c>
      <c r="D300" s="387"/>
      <c r="E300" s="371">
        <v>18000</v>
      </c>
      <c r="F300" s="534"/>
      <c r="G300" s="371"/>
      <c r="H300" s="535">
        <f t="shared" si="44"/>
        <v>0</v>
      </c>
      <c r="I300" s="421">
        <f t="shared" si="45"/>
        <v>0</v>
      </c>
      <c r="J300" s="1717"/>
      <c r="K300" s="1718"/>
      <c r="L300" s="1718"/>
      <c r="M300" s="1718"/>
      <c r="N300" s="1719"/>
      <c r="O300" s="571"/>
      <c r="P300" s="324"/>
    </row>
    <row r="301" spans="1:17">
      <c r="A301" s="323">
        <v>249</v>
      </c>
      <c r="B301" s="348"/>
      <c r="C301" s="573" t="s">
        <v>746</v>
      </c>
      <c r="D301" s="387"/>
      <c r="E301" s="371">
        <v>17300</v>
      </c>
      <c r="F301" s="534"/>
      <c r="G301" s="371"/>
      <c r="H301" s="535">
        <f t="shared" si="44"/>
        <v>0</v>
      </c>
      <c r="I301" s="421">
        <f t="shared" si="45"/>
        <v>0</v>
      </c>
      <c r="J301" s="1717"/>
      <c r="K301" s="1718"/>
      <c r="L301" s="1718"/>
      <c r="M301" s="1718"/>
      <c r="N301" s="1719"/>
      <c r="O301" s="571"/>
      <c r="P301" s="324"/>
    </row>
    <row r="302" spans="1:17" s="1057" customFormat="1">
      <c r="A302" s="323">
        <v>250</v>
      </c>
      <c r="B302" s="574"/>
      <c r="C302" s="573" t="s">
        <v>747</v>
      </c>
      <c r="D302" s="387"/>
      <c r="E302" s="371">
        <v>16800</v>
      </c>
      <c r="F302" s="534"/>
      <c r="G302" s="371"/>
      <c r="H302" s="535">
        <f t="shared" si="44"/>
        <v>0</v>
      </c>
      <c r="I302" s="421">
        <f t="shared" si="45"/>
        <v>0</v>
      </c>
      <c r="J302" s="1717"/>
      <c r="K302" s="1718"/>
      <c r="L302" s="1718"/>
      <c r="M302" s="1718"/>
      <c r="N302" s="1719"/>
      <c r="O302" s="571"/>
      <c r="P302" s="324"/>
      <c r="Q302" s="575"/>
    </row>
    <row r="303" spans="1:17">
      <c r="A303" s="323">
        <v>251</v>
      </c>
      <c r="B303" s="348"/>
      <c r="C303" s="573" t="s">
        <v>748</v>
      </c>
      <c r="D303" s="387"/>
      <c r="E303" s="371">
        <v>16000</v>
      </c>
      <c r="F303" s="534"/>
      <c r="G303" s="371"/>
      <c r="H303" s="535">
        <f t="shared" si="44"/>
        <v>0</v>
      </c>
      <c r="I303" s="421">
        <f t="shared" si="45"/>
        <v>0</v>
      </c>
      <c r="J303" s="1720"/>
      <c r="K303" s="1721"/>
      <c r="L303" s="1721"/>
      <c r="M303" s="1721"/>
      <c r="N303" s="1722"/>
      <c r="O303" s="571"/>
      <c r="P303" s="324"/>
    </row>
    <row r="304" spans="1:17" s="1058" customFormat="1">
      <c r="A304" s="323">
        <v>252</v>
      </c>
      <c r="B304" s="576"/>
      <c r="C304" s="577"/>
      <c r="D304" s="578"/>
      <c r="E304" s="578"/>
      <c r="F304" s="578"/>
      <c r="G304" s="578"/>
      <c r="H304" s="579"/>
      <c r="I304" s="580"/>
      <c r="J304" s="578"/>
      <c r="K304" s="581"/>
      <c r="L304" s="581"/>
      <c r="M304" s="580"/>
      <c r="N304" s="582"/>
      <c r="O304" s="583"/>
      <c r="P304" s="324"/>
      <c r="Q304" s="584"/>
    </row>
    <row r="305" spans="1:17" s="1054" customFormat="1" ht="56.25">
      <c r="A305" s="323">
        <v>253</v>
      </c>
      <c r="B305" s="498" t="s">
        <v>735</v>
      </c>
      <c r="C305" s="525" t="s">
        <v>749</v>
      </c>
      <c r="D305" s="407"/>
      <c r="E305" s="526" t="s">
        <v>750</v>
      </c>
      <c r="F305" s="526"/>
      <c r="G305" s="526"/>
      <c r="H305" s="526"/>
      <c r="I305" s="526"/>
      <c r="J305" s="411" t="s">
        <v>513</v>
      </c>
      <c r="K305" s="411" t="s">
        <v>514</v>
      </c>
      <c r="L305" s="411" t="s">
        <v>515</v>
      </c>
      <c r="M305" s="411" t="s">
        <v>516</v>
      </c>
      <c r="N305" s="412" t="s">
        <v>517</v>
      </c>
      <c r="O305" s="586"/>
      <c r="P305" s="324"/>
      <c r="Q305" s="329"/>
    </row>
    <row r="306" spans="1:17" ht="45">
      <c r="A306" s="323">
        <v>254</v>
      </c>
      <c r="B306" s="587">
        <v>1</v>
      </c>
      <c r="C306" s="486" t="s">
        <v>485</v>
      </c>
      <c r="D306" s="588">
        <v>1</v>
      </c>
      <c r="E306" s="432">
        <v>13000</v>
      </c>
      <c r="F306" s="463"/>
      <c r="G306" s="463"/>
      <c r="H306" s="464"/>
      <c r="I306" s="465"/>
      <c r="J306" s="451">
        <v>50000</v>
      </c>
      <c r="K306" s="534"/>
      <c r="L306" s="371">
        <v>50000</v>
      </c>
      <c r="M306" s="364">
        <f>L306-J306</f>
        <v>0</v>
      </c>
      <c r="N306" s="364">
        <f>IF(J306+M306=J306,0,J306+M306)</f>
        <v>0</v>
      </c>
      <c r="O306" s="1723" t="s">
        <v>356</v>
      </c>
      <c r="P306" s="324"/>
    </row>
    <row r="307" spans="1:17" ht="56.25">
      <c r="A307" s="323">
        <v>255</v>
      </c>
      <c r="B307" s="587">
        <v>2</v>
      </c>
      <c r="C307" s="486" t="s">
        <v>486</v>
      </c>
      <c r="D307" s="588">
        <v>1</v>
      </c>
      <c r="E307" s="432">
        <v>13000</v>
      </c>
      <c r="F307" s="463"/>
      <c r="G307" s="463"/>
      <c r="H307" s="464"/>
      <c r="I307" s="465"/>
      <c r="J307" s="451">
        <v>45000</v>
      </c>
      <c r="K307" s="534"/>
      <c r="L307" s="371">
        <v>45000</v>
      </c>
      <c r="M307" s="364">
        <f t="shared" ref="M307:M318" si="46">L307-J307</f>
        <v>0</v>
      </c>
      <c r="N307" s="364">
        <f t="shared" ref="N307:N318" si="47">IF(J307+M307=J307,0,J307+M307)</f>
        <v>0</v>
      </c>
      <c r="O307" s="1723"/>
      <c r="P307" s="324"/>
    </row>
    <row r="308" spans="1:17">
      <c r="A308" s="323">
        <v>256</v>
      </c>
      <c r="B308" s="587">
        <v>3</v>
      </c>
      <c r="C308" s="486" t="s">
        <v>751</v>
      </c>
      <c r="D308" s="588">
        <v>1</v>
      </c>
      <c r="E308" s="432">
        <v>13000</v>
      </c>
      <c r="F308" s="463"/>
      <c r="G308" s="463"/>
      <c r="H308" s="464"/>
      <c r="I308" s="465"/>
      <c r="J308" s="451">
        <v>41000</v>
      </c>
      <c r="K308" s="534"/>
      <c r="L308" s="371">
        <v>41000</v>
      </c>
      <c r="M308" s="364">
        <f t="shared" si="46"/>
        <v>0</v>
      </c>
      <c r="N308" s="364">
        <f t="shared" si="47"/>
        <v>0</v>
      </c>
      <c r="O308" s="1723"/>
      <c r="P308" s="324"/>
    </row>
    <row r="309" spans="1:17" ht="33.75">
      <c r="A309" s="323">
        <v>257</v>
      </c>
      <c r="B309" s="587">
        <v>4</v>
      </c>
      <c r="C309" s="486" t="s">
        <v>487</v>
      </c>
      <c r="D309" s="588">
        <v>1</v>
      </c>
      <c r="E309" s="432">
        <v>13000</v>
      </c>
      <c r="F309" s="463"/>
      <c r="G309" s="463"/>
      <c r="H309" s="464"/>
      <c r="I309" s="465"/>
      <c r="J309" s="451">
        <v>38300</v>
      </c>
      <c r="K309" s="534"/>
      <c r="L309" s="371">
        <v>38300</v>
      </c>
      <c r="M309" s="364">
        <f t="shared" si="46"/>
        <v>0</v>
      </c>
      <c r="N309" s="364">
        <f t="shared" si="47"/>
        <v>0</v>
      </c>
      <c r="O309" s="1723"/>
      <c r="P309" s="324"/>
    </row>
    <row r="310" spans="1:17">
      <c r="A310" s="323">
        <v>258</v>
      </c>
      <c r="B310" s="587">
        <v>5</v>
      </c>
      <c r="C310" s="486" t="s">
        <v>752</v>
      </c>
      <c r="D310" s="588">
        <v>1</v>
      </c>
      <c r="E310" s="432">
        <v>13000</v>
      </c>
      <c r="F310" s="463"/>
      <c r="G310" s="463"/>
      <c r="H310" s="464"/>
      <c r="I310" s="465"/>
      <c r="J310" s="451">
        <v>37000</v>
      </c>
      <c r="K310" s="534"/>
      <c r="L310" s="371">
        <v>37000</v>
      </c>
      <c r="M310" s="364">
        <f t="shared" si="46"/>
        <v>0</v>
      </c>
      <c r="N310" s="364">
        <f t="shared" si="47"/>
        <v>0</v>
      </c>
      <c r="O310" s="1723"/>
      <c r="P310" s="324"/>
    </row>
    <row r="311" spans="1:17">
      <c r="A311" s="323">
        <v>259</v>
      </c>
      <c r="B311" s="587">
        <v>6</v>
      </c>
      <c r="C311" s="486" t="s">
        <v>753</v>
      </c>
      <c r="D311" s="588">
        <v>1</v>
      </c>
      <c r="E311" s="432">
        <v>13000</v>
      </c>
      <c r="F311" s="463"/>
      <c r="G311" s="463"/>
      <c r="H311" s="464"/>
      <c r="I311" s="465"/>
      <c r="J311" s="451">
        <v>34000</v>
      </c>
      <c r="K311" s="534"/>
      <c r="L311" s="371">
        <v>34000</v>
      </c>
      <c r="M311" s="364">
        <f t="shared" si="46"/>
        <v>0</v>
      </c>
      <c r="N311" s="364">
        <f t="shared" si="47"/>
        <v>0</v>
      </c>
      <c r="O311" s="1723"/>
      <c r="P311" s="324"/>
    </row>
    <row r="312" spans="1:17" ht="45">
      <c r="A312" s="323">
        <v>260</v>
      </c>
      <c r="B312" s="587">
        <v>7</v>
      </c>
      <c r="C312" s="486" t="s">
        <v>754</v>
      </c>
      <c r="D312" s="588">
        <v>1</v>
      </c>
      <c r="E312" s="432">
        <v>13000</v>
      </c>
      <c r="F312" s="463"/>
      <c r="G312" s="463"/>
      <c r="H312" s="464"/>
      <c r="I312" s="465"/>
      <c r="J312" s="451">
        <v>36000</v>
      </c>
      <c r="K312" s="534"/>
      <c r="L312" s="371">
        <v>36000</v>
      </c>
      <c r="M312" s="364">
        <f t="shared" si="46"/>
        <v>0</v>
      </c>
      <c r="N312" s="364">
        <f t="shared" si="47"/>
        <v>0</v>
      </c>
      <c r="O312" s="1723"/>
      <c r="P312" s="324"/>
    </row>
    <row r="313" spans="1:17" ht="22.5">
      <c r="A313" s="323">
        <v>261</v>
      </c>
      <c r="B313" s="587">
        <v>8</v>
      </c>
      <c r="C313" s="486" t="s">
        <v>755</v>
      </c>
      <c r="D313" s="588">
        <v>1</v>
      </c>
      <c r="E313" s="432">
        <v>13000</v>
      </c>
      <c r="F313" s="463"/>
      <c r="G313" s="463"/>
      <c r="H313" s="464"/>
      <c r="I313" s="465"/>
      <c r="J313" s="451">
        <v>33000</v>
      </c>
      <c r="K313" s="534"/>
      <c r="L313" s="371">
        <v>33000</v>
      </c>
      <c r="M313" s="364">
        <f t="shared" si="46"/>
        <v>0</v>
      </c>
      <c r="N313" s="364">
        <f t="shared" si="47"/>
        <v>0</v>
      </c>
      <c r="O313" s="1723"/>
      <c r="P313" s="324"/>
    </row>
    <row r="314" spans="1:17">
      <c r="A314" s="323">
        <v>262</v>
      </c>
      <c r="B314" s="587">
        <v>9</v>
      </c>
      <c r="C314" s="486" t="s">
        <v>756</v>
      </c>
      <c r="D314" s="588">
        <v>1</v>
      </c>
      <c r="E314" s="432">
        <v>13000</v>
      </c>
      <c r="F314" s="463"/>
      <c r="G314" s="463"/>
      <c r="H314" s="464"/>
      <c r="I314" s="465"/>
      <c r="J314" s="451">
        <v>30000</v>
      </c>
      <c r="K314" s="534"/>
      <c r="L314" s="371">
        <v>30000</v>
      </c>
      <c r="M314" s="364">
        <f t="shared" si="46"/>
        <v>0</v>
      </c>
      <c r="N314" s="364">
        <f t="shared" si="47"/>
        <v>0</v>
      </c>
      <c r="O314" s="1723"/>
      <c r="P314" s="324"/>
    </row>
    <row r="315" spans="1:17">
      <c r="A315" s="323">
        <v>263</v>
      </c>
      <c r="B315" s="587">
        <v>10</v>
      </c>
      <c r="C315" s="486" t="s">
        <v>757</v>
      </c>
      <c r="D315" s="588">
        <v>2</v>
      </c>
      <c r="E315" s="432">
        <v>11000</v>
      </c>
      <c r="F315" s="417"/>
      <c r="G315" s="417"/>
      <c r="H315" s="418"/>
      <c r="I315" s="419"/>
      <c r="J315" s="451">
        <v>27000</v>
      </c>
      <c r="K315" s="534"/>
      <c r="L315" s="371">
        <v>27000</v>
      </c>
      <c r="M315" s="364">
        <f t="shared" si="46"/>
        <v>0</v>
      </c>
      <c r="N315" s="364">
        <f t="shared" si="47"/>
        <v>0</v>
      </c>
      <c r="O315" s="1723"/>
      <c r="P315" s="324"/>
    </row>
    <row r="316" spans="1:17">
      <c r="A316" s="323">
        <v>264</v>
      </c>
      <c r="B316" s="587">
        <v>11</v>
      </c>
      <c r="C316" s="486" t="s">
        <v>757</v>
      </c>
      <c r="D316" s="588">
        <v>3</v>
      </c>
      <c r="E316" s="432">
        <v>10000</v>
      </c>
      <c r="F316" s="417"/>
      <c r="G316" s="417"/>
      <c r="H316" s="418"/>
      <c r="I316" s="419"/>
      <c r="J316" s="451">
        <v>27000</v>
      </c>
      <c r="K316" s="534"/>
      <c r="L316" s="371">
        <v>27000</v>
      </c>
      <c r="M316" s="364">
        <f t="shared" si="46"/>
        <v>0</v>
      </c>
      <c r="N316" s="364">
        <f t="shared" si="47"/>
        <v>0</v>
      </c>
      <c r="O316" s="1723"/>
      <c r="P316" s="324"/>
    </row>
    <row r="317" spans="1:17">
      <c r="A317" s="323">
        <v>265</v>
      </c>
      <c r="B317" s="587">
        <v>12</v>
      </c>
      <c r="C317" s="486" t="s">
        <v>758</v>
      </c>
      <c r="D317" s="588">
        <v>3</v>
      </c>
      <c r="E317" s="432">
        <v>10000</v>
      </c>
      <c r="F317" s="417"/>
      <c r="G317" s="417"/>
      <c r="H317" s="418"/>
      <c r="I317" s="419"/>
      <c r="J317" s="451">
        <v>25500</v>
      </c>
      <c r="K317" s="534"/>
      <c r="L317" s="371">
        <v>25500</v>
      </c>
      <c r="M317" s="364">
        <f t="shared" si="46"/>
        <v>0</v>
      </c>
      <c r="N317" s="364">
        <f t="shared" si="47"/>
        <v>0</v>
      </c>
      <c r="O317" s="1723"/>
      <c r="P317" s="324"/>
    </row>
    <row r="318" spans="1:17">
      <c r="A318" s="323">
        <v>266</v>
      </c>
      <c r="B318" s="587">
        <v>13</v>
      </c>
      <c r="C318" s="486" t="s">
        <v>756</v>
      </c>
      <c r="D318" s="588">
        <v>2</v>
      </c>
      <c r="E318" s="432">
        <v>11000</v>
      </c>
      <c r="F318" s="417"/>
      <c r="G318" s="417"/>
      <c r="H318" s="418"/>
      <c r="I318" s="419"/>
      <c r="J318" s="451">
        <v>25500</v>
      </c>
      <c r="K318" s="534"/>
      <c r="L318" s="371">
        <v>25500</v>
      </c>
      <c r="M318" s="364">
        <f t="shared" si="46"/>
        <v>0</v>
      </c>
      <c r="N318" s="364">
        <f t="shared" si="47"/>
        <v>0</v>
      </c>
      <c r="O318" s="589"/>
      <c r="P318" s="324"/>
    </row>
    <row r="319" spans="1:17" ht="56.25">
      <c r="A319" s="323">
        <v>267</v>
      </c>
      <c r="B319" s="453" t="s">
        <v>735</v>
      </c>
      <c r="C319" s="525" t="s">
        <v>759</v>
      </c>
      <c r="D319" s="407"/>
      <c r="E319" s="526" t="s">
        <v>750</v>
      </c>
      <c r="F319" s="526"/>
      <c r="G319" s="526"/>
      <c r="H319" s="526"/>
      <c r="I319" s="526"/>
      <c r="J319" s="411" t="s">
        <v>513</v>
      </c>
      <c r="K319" s="411" t="s">
        <v>514</v>
      </c>
      <c r="L319" s="411" t="s">
        <v>515</v>
      </c>
      <c r="M319" s="411" t="s">
        <v>516</v>
      </c>
      <c r="N319" s="412" t="s">
        <v>517</v>
      </c>
      <c r="O319" s="570"/>
      <c r="P319" s="324"/>
    </row>
    <row r="320" spans="1:17">
      <c r="A320" s="323">
        <v>268</v>
      </c>
      <c r="B320" s="590"/>
      <c r="C320" s="517" t="s">
        <v>760</v>
      </c>
      <c r="D320" s="387"/>
      <c r="E320" s="417"/>
      <c r="F320" s="417"/>
      <c r="G320" s="417"/>
      <c r="H320" s="418"/>
      <c r="I320" s="419"/>
      <c r="J320" s="417"/>
      <c r="K320" s="424"/>
      <c r="L320" s="424"/>
      <c r="M320" s="419"/>
      <c r="N320" s="417"/>
      <c r="O320" s="591"/>
      <c r="P320" s="324"/>
    </row>
    <row r="321" spans="1:16" ht="22.5">
      <c r="A321" s="323">
        <v>269</v>
      </c>
      <c r="B321" s="590" t="s">
        <v>761</v>
      </c>
      <c r="C321" s="490" t="s">
        <v>762</v>
      </c>
      <c r="D321" s="387"/>
      <c r="E321" s="463">
        <f t="shared" ref="E321:E338" si="48">$K$8</f>
        <v>14000</v>
      </c>
      <c r="F321" s="463"/>
      <c r="G321" s="463"/>
      <c r="H321" s="464"/>
      <c r="I321" s="465"/>
      <c r="J321" s="371">
        <v>84000</v>
      </c>
      <c r="K321" s="363"/>
      <c r="L321" s="420"/>
      <c r="M321" s="421">
        <f>IF(J321+(K321*J321+L321)=J321,0,L321+K321*J321)</f>
        <v>0</v>
      </c>
      <c r="N321" s="592">
        <f>IF(J321+M321=J321,0,J321+M321)</f>
        <v>0</v>
      </c>
      <c r="O321" s="593"/>
      <c r="P321" s="324"/>
    </row>
    <row r="322" spans="1:16">
      <c r="A322" s="323">
        <v>270</v>
      </c>
      <c r="B322" s="590"/>
      <c r="C322" s="490" t="s">
        <v>763</v>
      </c>
      <c r="D322" s="387"/>
      <c r="E322" s="463">
        <f t="shared" si="48"/>
        <v>14000</v>
      </c>
      <c r="F322" s="463"/>
      <c r="G322" s="463"/>
      <c r="H322" s="464"/>
      <c r="I322" s="465"/>
      <c r="J322" s="371">
        <v>65000</v>
      </c>
      <c r="K322" s="363"/>
      <c r="L322" s="420"/>
      <c r="M322" s="421">
        <f t="shared" ref="M322:M338" si="49">IF(J322+(K322*J322+L322)=J322,0,L322+K322*J322)</f>
        <v>0</v>
      </c>
      <c r="N322" s="592">
        <f t="shared" ref="N322:N338" si="50">IF(J322+M322=J322,0,J322+M322)</f>
        <v>0</v>
      </c>
      <c r="O322" s="593"/>
      <c r="P322" s="324"/>
    </row>
    <row r="323" spans="1:16">
      <c r="A323" s="323">
        <v>271</v>
      </c>
      <c r="B323" s="590"/>
      <c r="C323" s="490" t="s">
        <v>764</v>
      </c>
      <c r="D323" s="387"/>
      <c r="E323" s="463">
        <f t="shared" si="48"/>
        <v>14000</v>
      </c>
      <c r="F323" s="463"/>
      <c r="G323" s="463"/>
      <c r="H323" s="464"/>
      <c r="I323" s="465"/>
      <c r="J323" s="371">
        <v>61500</v>
      </c>
      <c r="K323" s="363"/>
      <c r="L323" s="420"/>
      <c r="M323" s="421">
        <f t="shared" si="49"/>
        <v>0</v>
      </c>
      <c r="N323" s="592">
        <f t="shared" si="50"/>
        <v>0</v>
      </c>
      <c r="O323" s="593"/>
      <c r="P323" s="324"/>
    </row>
    <row r="324" spans="1:16" ht="22.5">
      <c r="A324" s="323">
        <v>272</v>
      </c>
      <c r="B324" s="590"/>
      <c r="C324" s="490" t="s">
        <v>765</v>
      </c>
      <c r="D324" s="387"/>
      <c r="E324" s="463">
        <f t="shared" si="48"/>
        <v>14000</v>
      </c>
      <c r="F324" s="463"/>
      <c r="G324" s="463"/>
      <c r="H324" s="464"/>
      <c r="I324" s="465"/>
      <c r="J324" s="371">
        <v>55000</v>
      </c>
      <c r="K324" s="363"/>
      <c r="L324" s="420"/>
      <c r="M324" s="421">
        <f t="shared" si="49"/>
        <v>0</v>
      </c>
      <c r="N324" s="592">
        <f t="shared" si="50"/>
        <v>0</v>
      </c>
      <c r="O324" s="593"/>
      <c r="P324" s="324"/>
    </row>
    <row r="325" spans="1:16">
      <c r="A325" s="323">
        <v>273</v>
      </c>
      <c r="B325" s="590"/>
      <c r="C325" s="490" t="s">
        <v>766</v>
      </c>
      <c r="D325" s="387"/>
      <c r="E325" s="463">
        <f t="shared" si="48"/>
        <v>14000</v>
      </c>
      <c r="F325" s="463"/>
      <c r="G325" s="463"/>
      <c r="H325" s="464"/>
      <c r="I325" s="465"/>
      <c r="J325" s="371">
        <v>49000</v>
      </c>
      <c r="K325" s="363"/>
      <c r="L325" s="420"/>
      <c r="M325" s="421">
        <f t="shared" si="49"/>
        <v>0</v>
      </c>
      <c r="N325" s="592">
        <f t="shared" si="50"/>
        <v>0</v>
      </c>
      <c r="O325" s="593"/>
      <c r="P325" s="324"/>
    </row>
    <row r="326" spans="1:16">
      <c r="A326" s="323">
        <v>274</v>
      </c>
      <c r="B326" s="590"/>
      <c r="C326" s="490" t="s">
        <v>767</v>
      </c>
      <c r="D326" s="387"/>
      <c r="E326" s="463">
        <f t="shared" si="48"/>
        <v>14000</v>
      </c>
      <c r="F326" s="463"/>
      <c r="G326" s="463"/>
      <c r="H326" s="464"/>
      <c r="I326" s="465"/>
      <c r="J326" s="371">
        <v>44500</v>
      </c>
      <c r="K326" s="363"/>
      <c r="L326" s="420"/>
      <c r="M326" s="421">
        <f t="shared" si="49"/>
        <v>0</v>
      </c>
      <c r="N326" s="592">
        <f t="shared" si="50"/>
        <v>0</v>
      </c>
      <c r="O326" s="593"/>
      <c r="P326" s="324"/>
    </row>
    <row r="327" spans="1:16">
      <c r="A327" s="323">
        <v>275</v>
      </c>
      <c r="B327" s="590">
        <v>3</v>
      </c>
      <c r="C327" s="490" t="s">
        <v>498</v>
      </c>
      <c r="D327" s="387"/>
      <c r="E327" s="463">
        <f t="shared" si="48"/>
        <v>14000</v>
      </c>
      <c r="F327" s="463"/>
      <c r="G327" s="463"/>
      <c r="H327" s="464"/>
      <c r="I327" s="465"/>
      <c r="J327" s="371">
        <v>38500</v>
      </c>
      <c r="K327" s="363"/>
      <c r="L327" s="420"/>
      <c r="M327" s="421">
        <f t="shared" si="49"/>
        <v>0</v>
      </c>
      <c r="N327" s="592">
        <f t="shared" si="50"/>
        <v>0</v>
      </c>
      <c r="O327" s="593"/>
      <c r="P327" s="324"/>
    </row>
    <row r="328" spans="1:16" ht="22.5">
      <c r="A328" s="323">
        <v>276</v>
      </c>
      <c r="B328" s="590"/>
      <c r="C328" s="490" t="s">
        <v>768</v>
      </c>
      <c r="D328" s="387"/>
      <c r="E328" s="463">
        <f t="shared" si="48"/>
        <v>14000</v>
      </c>
      <c r="F328" s="463"/>
      <c r="G328" s="463"/>
      <c r="H328" s="464"/>
      <c r="I328" s="465"/>
      <c r="J328" s="371">
        <v>37450</v>
      </c>
      <c r="K328" s="363"/>
      <c r="L328" s="420"/>
      <c r="M328" s="421">
        <f t="shared" si="49"/>
        <v>0</v>
      </c>
      <c r="N328" s="592">
        <f t="shared" si="50"/>
        <v>0</v>
      </c>
      <c r="O328" s="593"/>
      <c r="P328" s="324"/>
    </row>
    <row r="329" spans="1:16">
      <c r="A329" s="323">
        <v>277</v>
      </c>
      <c r="B329" s="590" t="s">
        <v>769</v>
      </c>
      <c r="C329" s="490" t="s">
        <v>770</v>
      </c>
      <c r="D329" s="387"/>
      <c r="E329" s="463">
        <f t="shared" si="48"/>
        <v>14000</v>
      </c>
      <c r="F329" s="463"/>
      <c r="G329" s="463"/>
      <c r="H329" s="464"/>
      <c r="I329" s="465"/>
      <c r="J329" s="371">
        <v>37400</v>
      </c>
      <c r="K329" s="363"/>
      <c r="L329" s="420"/>
      <c r="M329" s="421">
        <f t="shared" si="49"/>
        <v>0</v>
      </c>
      <c r="N329" s="592">
        <f t="shared" si="50"/>
        <v>0</v>
      </c>
      <c r="O329" s="593"/>
      <c r="P329" s="324"/>
    </row>
    <row r="330" spans="1:16" ht="45">
      <c r="A330" s="323">
        <v>278</v>
      </c>
      <c r="B330" s="590" t="s">
        <v>761</v>
      </c>
      <c r="C330" s="490" t="s">
        <v>771</v>
      </c>
      <c r="D330" s="387"/>
      <c r="E330" s="463">
        <f t="shared" si="48"/>
        <v>14000</v>
      </c>
      <c r="F330" s="463"/>
      <c r="G330" s="463"/>
      <c r="H330" s="464"/>
      <c r="I330" s="465"/>
      <c r="J330" s="371">
        <v>35300</v>
      </c>
      <c r="K330" s="363"/>
      <c r="L330" s="420"/>
      <c r="M330" s="421">
        <f t="shared" si="49"/>
        <v>0</v>
      </c>
      <c r="N330" s="592">
        <f t="shared" si="50"/>
        <v>0</v>
      </c>
      <c r="O330" s="593"/>
      <c r="P330" s="324"/>
    </row>
    <row r="331" spans="1:16">
      <c r="A331" s="323">
        <v>279</v>
      </c>
      <c r="B331" s="590" t="s">
        <v>761</v>
      </c>
      <c r="C331" s="490" t="s">
        <v>772</v>
      </c>
      <c r="D331" s="387"/>
      <c r="E331" s="463">
        <f t="shared" si="48"/>
        <v>14000</v>
      </c>
      <c r="F331" s="463"/>
      <c r="G331" s="463"/>
      <c r="H331" s="464"/>
      <c r="I331" s="465"/>
      <c r="J331" s="371">
        <v>31250</v>
      </c>
      <c r="K331" s="363"/>
      <c r="L331" s="420"/>
      <c r="M331" s="421">
        <f t="shared" si="49"/>
        <v>0</v>
      </c>
      <c r="N331" s="592">
        <f t="shared" si="50"/>
        <v>0</v>
      </c>
      <c r="O331" s="593"/>
      <c r="P331" s="324"/>
    </row>
    <row r="332" spans="1:16" ht="33.75">
      <c r="A332" s="323">
        <v>280</v>
      </c>
      <c r="B332" s="590" t="s">
        <v>761</v>
      </c>
      <c r="C332" s="490" t="s">
        <v>773</v>
      </c>
      <c r="D332" s="387"/>
      <c r="E332" s="463">
        <f t="shared" si="48"/>
        <v>14000</v>
      </c>
      <c r="F332" s="463"/>
      <c r="G332" s="463"/>
      <c r="H332" s="464"/>
      <c r="I332" s="465"/>
      <c r="J332" s="371">
        <v>27200</v>
      </c>
      <c r="K332" s="363"/>
      <c r="L332" s="420"/>
      <c r="M332" s="421">
        <f t="shared" si="49"/>
        <v>0</v>
      </c>
      <c r="N332" s="592">
        <f t="shared" si="50"/>
        <v>0</v>
      </c>
      <c r="O332" s="593"/>
      <c r="P332" s="324"/>
    </row>
    <row r="333" spans="1:16" ht="45">
      <c r="A333" s="323">
        <v>281</v>
      </c>
      <c r="B333" s="590" t="s">
        <v>761</v>
      </c>
      <c r="C333" s="490" t="s">
        <v>774</v>
      </c>
      <c r="D333" s="387"/>
      <c r="E333" s="463">
        <f t="shared" si="48"/>
        <v>14000</v>
      </c>
      <c r="F333" s="463"/>
      <c r="G333" s="463"/>
      <c r="H333" s="464"/>
      <c r="I333" s="465"/>
      <c r="J333" s="371">
        <v>23000</v>
      </c>
      <c r="K333" s="363"/>
      <c r="L333" s="420"/>
      <c r="M333" s="421">
        <f t="shared" si="49"/>
        <v>0</v>
      </c>
      <c r="N333" s="592">
        <f t="shared" si="50"/>
        <v>0</v>
      </c>
      <c r="O333" s="593"/>
      <c r="P333" s="324"/>
    </row>
    <row r="334" spans="1:16" ht="45">
      <c r="A334" s="323">
        <v>282</v>
      </c>
      <c r="B334" s="590" t="s">
        <v>761</v>
      </c>
      <c r="C334" s="490" t="s">
        <v>775</v>
      </c>
      <c r="D334" s="387"/>
      <c r="E334" s="463">
        <f t="shared" si="48"/>
        <v>14000</v>
      </c>
      <c r="F334" s="463"/>
      <c r="G334" s="463"/>
      <c r="H334" s="464"/>
      <c r="I334" s="465"/>
      <c r="J334" s="371">
        <v>21900</v>
      </c>
      <c r="K334" s="363"/>
      <c r="L334" s="420"/>
      <c r="M334" s="421">
        <f t="shared" si="49"/>
        <v>0</v>
      </c>
      <c r="N334" s="592">
        <f t="shared" si="50"/>
        <v>0</v>
      </c>
      <c r="O334" s="593"/>
      <c r="P334" s="324"/>
    </row>
    <row r="335" spans="1:16" ht="67.5">
      <c r="A335" s="323">
        <v>283</v>
      </c>
      <c r="B335" s="590">
        <v>16</v>
      </c>
      <c r="C335" s="490" t="s">
        <v>776</v>
      </c>
      <c r="D335" s="387"/>
      <c r="E335" s="463">
        <f t="shared" si="48"/>
        <v>14000</v>
      </c>
      <c r="F335" s="463"/>
      <c r="G335" s="463"/>
      <c r="H335" s="464"/>
      <c r="I335" s="465"/>
      <c r="J335" s="371">
        <v>18500</v>
      </c>
      <c r="K335" s="363"/>
      <c r="L335" s="420"/>
      <c r="M335" s="421">
        <f t="shared" si="49"/>
        <v>0</v>
      </c>
      <c r="N335" s="592">
        <f t="shared" si="50"/>
        <v>0</v>
      </c>
      <c r="O335" s="593"/>
      <c r="P335" s="324"/>
    </row>
    <row r="336" spans="1:16" ht="22.5">
      <c r="A336" s="323">
        <v>284</v>
      </c>
      <c r="B336" s="590">
        <v>24</v>
      </c>
      <c r="C336" s="490" t="s">
        <v>777</v>
      </c>
      <c r="D336" s="387"/>
      <c r="E336" s="463">
        <f t="shared" si="48"/>
        <v>14000</v>
      </c>
      <c r="F336" s="463"/>
      <c r="G336" s="463"/>
      <c r="H336" s="464"/>
      <c r="I336" s="465"/>
      <c r="J336" s="371">
        <v>17160</v>
      </c>
      <c r="K336" s="363"/>
      <c r="L336" s="420"/>
      <c r="M336" s="421">
        <f t="shared" si="49"/>
        <v>0</v>
      </c>
      <c r="N336" s="592">
        <f t="shared" si="50"/>
        <v>0</v>
      </c>
      <c r="O336" s="593"/>
      <c r="P336" s="324"/>
    </row>
    <row r="337" spans="1:17">
      <c r="A337" s="323">
        <v>285</v>
      </c>
      <c r="B337" s="590">
        <v>28</v>
      </c>
      <c r="C337" s="490" t="s">
        <v>778</v>
      </c>
      <c r="D337" s="387"/>
      <c r="E337" s="463">
        <f t="shared" si="48"/>
        <v>14000</v>
      </c>
      <c r="F337" s="463"/>
      <c r="G337" s="463"/>
      <c r="H337" s="464"/>
      <c r="I337" s="465"/>
      <c r="J337" s="371">
        <v>16000</v>
      </c>
      <c r="K337" s="363"/>
      <c r="L337" s="420"/>
      <c r="M337" s="421">
        <f t="shared" si="49"/>
        <v>0</v>
      </c>
      <c r="N337" s="592">
        <f t="shared" si="50"/>
        <v>0</v>
      </c>
      <c r="O337" s="593"/>
      <c r="P337" s="324"/>
    </row>
    <row r="338" spans="1:17">
      <c r="A338" s="323">
        <v>286</v>
      </c>
      <c r="B338" s="590"/>
      <c r="C338" s="490" t="s">
        <v>779</v>
      </c>
      <c r="D338" s="387"/>
      <c r="E338" s="463">
        <f t="shared" si="48"/>
        <v>14000</v>
      </c>
      <c r="F338" s="463"/>
      <c r="G338" s="463"/>
      <c r="H338" s="464"/>
      <c r="I338" s="465"/>
      <c r="J338" s="371">
        <v>14700</v>
      </c>
      <c r="K338" s="363"/>
      <c r="L338" s="420"/>
      <c r="M338" s="421">
        <f t="shared" si="49"/>
        <v>0</v>
      </c>
      <c r="N338" s="592">
        <f t="shared" si="50"/>
        <v>0</v>
      </c>
      <c r="O338" s="593"/>
      <c r="P338" s="324"/>
    </row>
    <row r="339" spans="1:17">
      <c r="A339" s="323">
        <v>287</v>
      </c>
      <c r="B339" s="590"/>
      <c r="C339" s="490"/>
      <c r="D339" s="387"/>
      <c r="E339" s="417"/>
      <c r="F339" s="417"/>
      <c r="G339" s="417"/>
      <c r="H339" s="418"/>
      <c r="I339" s="419"/>
      <c r="J339" s="371"/>
      <c r="K339" s="370"/>
      <c r="L339" s="370"/>
      <c r="M339" s="364"/>
      <c r="N339" s="594"/>
      <c r="O339" s="593"/>
      <c r="P339" s="324"/>
    </row>
    <row r="340" spans="1:17" s="1055" customFormat="1" ht="56.25">
      <c r="A340" s="323">
        <v>288</v>
      </c>
      <c r="B340" s="393"/>
      <c r="C340" s="595" t="s">
        <v>780</v>
      </c>
      <c r="D340" s="493"/>
      <c r="E340" s="505" t="s">
        <v>750</v>
      </c>
      <c r="F340" s="505"/>
      <c r="G340" s="505"/>
      <c r="H340" s="505"/>
      <c r="I340" s="505"/>
      <c r="J340" s="478" t="s">
        <v>513</v>
      </c>
      <c r="K340" s="478" t="s">
        <v>514</v>
      </c>
      <c r="L340" s="478" t="s">
        <v>515</v>
      </c>
      <c r="M340" s="478" t="s">
        <v>516</v>
      </c>
      <c r="N340" s="479" t="s">
        <v>517</v>
      </c>
      <c r="O340" s="596"/>
      <c r="P340" s="324"/>
      <c r="Q340" s="330"/>
    </row>
    <row r="341" spans="1:17" ht="67.5">
      <c r="A341" s="323">
        <v>289</v>
      </c>
      <c r="B341" s="590" t="s">
        <v>781</v>
      </c>
      <c r="C341" s="490" t="s">
        <v>782</v>
      </c>
      <c r="D341" s="387"/>
      <c r="E341" s="417">
        <v>7600</v>
      </c>
      <c r="F341" s="417"/>
      <c r="G341" s="417"/>
      <c r="H341" s="418"/>
      <c r="I341" s="419"/>
      <c r="J341" s="371">
        <v>20200</v>
      </c>
      <c r="K341" s="363"/>
      <c r="L341" s="420"/>
      <c r="M341" s="421">
        <f>IF(J341+(K341*J341+L341)=J341,0,L341+K341*J341)</f>
        <v>0</v>
      </c>
      <c r="N341" s="592">
        <f>IF(J341+M341=J341,0,J341+M341)</f>
        <v>0</v>
      </c>
      <c r="O341" s="593"/>
      <c r="P341" s="324"/>
    </row>
    <row r="342" spans="1:17" ht="67.5">
      <c r="A342" s="323">
        <v>290</v>
      </c>
      <c r="B342" s="590" t="s">
        <v>781</v>
      </c>
      <c r="C342" s="490" t="s">
        <v>783</v>
      </c>
      <c r="D342" s="387"/>
      <c r="E342" s="417">
        <v>7600</v>
      </c>
      <c r="F342" s="417"/>
      <c r="G342" s="417"/>
      <c r="H342" s="418"/>
      <c r="I342" s="419"/>
      <c r="J342" s="371">
        <v>18800</v>
      </c>
      <c r="K342" s="363"/>
      <c r="L342" s="420"/>
      <c r="M342" s="421">
        <f t="shared" ref="M342:M347" si="51">IF(J342+(K342*J342+L342)=J342,0,L342+K342*J342)</f>
        <v>0</v>
      </c>
      <c r="N342" s="592">
        <f t="shared" ref="N342:N347" si="52">IF(J342+M342=J342,0,J342+M342)</f>
        <v>0</v>
      </c>
      <c r="O342" s="593"/>
      <c r="P342" s="324"/>
    </row>
    <row r="343" spans="1:17" ht="78.75">
      <c r="A343" s="323">
        <v>291</v>
      </c>
      <c r="B343" s="590" t="s">
        <v>781</v>
      </c>
      <c r="C343" s="490" t="s">
        <v>784</v>
      </c>
      <c r="D343" s="387"/>
      <c r="E343" s="417">
        <v>7600</v>
      </c>
      <c r="F343" s="417"/>
      <c r="G343" s="417"/>
      <c r="H343" s="418"/>
      <c r="I343" s="419"/>
      <c r="J343" s="371">
        <v>17290</v>
      </c>
      <c r="K343" s="363"/>
      <c r="L343" s="420"/>
      <c r="M343" s="421">
        <f t="shared" si="51"/>
        <v>0</v>
      </c>
      <c r="N343" s="592">
        <f t="shared" si="52"/>
        <v>0</v>
      </c>
      <c r="O343" s="593"/>
      <c r="P343" s="324"/>
    </row>
    <row r="344" spans="1:17">
      <c r="A344" s="323">
        <v>292</v>
      </c>
      <c r="B344" s="590" t="s">
        <v>781</v>
      </c>
      <c r="C344" s="490" t="s">
        <v>785</v>
      </c>
      <c r="D344" s="387"/>
      <c r="E344" s="417">
        <v>7600</v>
      </c>
      <c r="F344" s="417"/>
      <c r="G344" s="417"/>
      <c r="H344" s="418"/>
      <c r="I344" s="419"/>
      <c r="J344" s="371">
        <v>16630</v>
      </c>
      <c r="K344" s="363"/>
      <c r="L344" s="420"/>
      <c r="M344" s="421">
        <f t="shared" si="51"/>
        <v>0</v>
      </c>
      <c r="N344" s="592">
        <f t="shared" si="52"/>
        <v>0</v>
      </c>
      <c r="O344" s="593"/>
      <c r="P344" s="324"/>
    </row>
    <row r="345" spans="1:17" ht="101.25">
      <c r="A345" s="323">
        <v>293</v>
      </c>
      <c r="B345" s="590"/>
      <c r="C345" s="490" t="s">
        <v>786</v>
      </c>
      <c r="D345" s="387"/>
      <c r="E345" s="417">
        <v>7600</v>
      </c>
      <c r="F345" s="417"/>
      <c r="G345" s="417"/>
      <c r="H345" s="418"/>
      <c r="I345" s="419"/>
      <c r="J345" s="371">
        <v>15090</v>
      </c>
      <c r="K345" s="363"/>
      <c r="L345" s="420"/>
      <c r="M345" s="421">
        <f t="shared" si="51"/>
        <v>0</v>
      </c>
      <c r="N345" s="592">
        <f t="shared" si="52"/>
        <v>0</v>
      </c>
      <c r="O345" s="593"/>
      <c r="P345" s="324"/>
    </row>
    <row r="346" spans="1:17">
      <c r="A346" s="323">
        <v>294</v>
      </c>
      <c r="B346" s="590" t="s">
        <v>781</v>
      </c>
      <c r="C346" s="490" t="s">
        <v>787</v>
      </c>
      <c r="D346" s="387"/>
      <c r="E346" s="417">
        <v>7600</v>
      </c>
      <c r="F346" s="417"/>
      <c r="G346" s="417"/>
      <c r="H346" s="418"/>
      <c r="I346" s="419"/>
      <c r="J346" s="371">
        <v>13800</v>
      </c>
      <c r="K346" s="363"/>
      <c r="L346" s="420"/>
      <c r="M346" s="421">
        <f t="shared" si="51"/>
        <v>0</v>
      </c>
      <c r="N346" s="592">
        <f t="shared" si="52"/>
        <v>0</v>
      </c>
      <c r="O346" s="597"/>
      <c r="P346" s="324"/>
    </row>
    <row r="347" spans="1:17" ht="22.5">
      <c r="A347" s="323">
        <v>295</v>
      </c>
      <c r="B347" s="449"/>
      <c r="C347" s="490" t="s">
        <v>788</v>
      </c>
      <c r="D347" s="387"/>
      <c r="E347" s="417">
        <v>7600</v>
      </c>
      <c r="F347" s="417"/>
      <c r="G347" s="417"/>
      <c r="H347" s="418"/>
      <c r="I347" s="419"/>
      <c r="J347" s="371">
        <v>13270</v>
      </c>
      <c r="K347" s="363"/>
      <c r="L347" s="420"/>
      <c r="M347" s="421">
        <f t="shared" si="51"/>
        <v>0</v>
      </c>
      <c r="N347" s="592">
        <f t="shared" si="52"/>
        <v>0</v>
      </c>
      <c r="O347" s="597"/>
      <c r="P347" s="324"/>
    </row>
    <row r="348" spans="1:17">
      <c r="A348" s="323">
        <v>296</v>
      </c>
      <c r="B348" s="537"/>
      <c r="C348" s="538"/>
      <c r="D348" s="493"/>
      <c r="E348" s="474"/>
      <c r="F348" s="474"/>
      <c r="G348" s="474"/>
      <c r="H348" s="494"/>
      <c r="I348" s="476"/>
      <c r="J348" s="474"/>
      <c r="K348" s="475"/>
      <c r="L348" s="475"/>
      <c r="M348" s="476"/>
      <c r="N348" s="598"/>
      <c r="O348" s="599"/>
      <c r="P348" s="324"/>
    </row>
    <row r="349" spans="1:17" ht="33.75">
      <c r="A349" s="323">
        <v>297</v>
      </c>
      <c r="B349" s="600"/>
      <c r="C349" s="406" t="s">
        <v>790</v>
      </c>
      <c r="D349" s="407"/>
      <c r="E349" s="526" t="s">
        <v>750</v>
      </c>
      <c r="F349" s="526"/>
      <c r="G349" s="526"/>
      <c r="H349" s="512"/>
      <c r="I349" s="513"/>
      <c r="J349" s="411" t="s">
        <v>791</v>
      </c>
      <c r="K349" s="514"/>
      <c r="L349" s="514"/>
      <c r="M349" s="513"/>
      <c r="N349" s="562"/>
      <c r="O349" s="601"/>
      <c r="P349" s="324"/>
    </row>
    <row r="350" spans="1:17" ht="33.75" customHeight="1">
      <c r="A350" s="323">
        <v>298</v>
      </c>
      <c r="B350" s="587">
        <v>1</v>
      </c>
      <c r="C350" s="486" t="s">
        <v>792</v>
      </c>
      <c r="D350" s="588" t="s">
        <v>150</v>
      </c>
      <c r="E350" s="463">
        <f t="shared" ref="E350:E357" si="53">$K$8</f>
        <v>14000</v>
      </c>
      <c r="F350" s="463"/>
      <c r="G350" s="463"/>
      <c r="H350" s="464"/>
      <c r="I350" s="465"/>
      <c r="J350" s="417">
        <f>$K$16</f>
        <v>107800</v>
      </c>
      <c r="K350" s="424"/>
      <c r="L350" s="424"/>
      <c r="M350" s="419"/>
      <c r="N350" s="1732" t="s">
        <v>793</v>
      </c>
      <c r="O350" s="1733"/>
      <c r="P350" s="324"/>
    </row>
    <row r="351" spans="1:17" ht="11.25" customHeight="1">
      <c r="A351" s="323">
        <v>299</v>
      </c>
      <c r="B351" s="587">
        <v>2</v>
      </c>
      <c r="C351" s="486" t="s">
        <v>794</v>
      </c>
      <c r="D351" s="588" t="s">
        <v>151</v>
      </c>
      <c r="E351" s="463">
        <f t="shared" si="53"/>
        <v>14000</v>
      </c>
      <c r="F351" s="463"/>
      <c r="G351" s="463"/>
      <c r="H351" s="464"/>
      <c r="I351" s="465"/>
      <c r="J351" s="417">
        <f>$K$17</f>
        <v>91700</v>
      </c>
      <c r="K351" s="424"/>
      <c r="L351" s="424"/>
      <c r="M351" s="419"/>
      <c r="N351" s="602"/>
      <c r="O351" s="593"/>
      <c r="P351" s="324"/>
    </row>
    <row r="352" spans="1:17" ht="11.25" customHeight="1">
      <c r="A352" s="323">
        <v>300</v>
      </c>
      <c r="B352" s="587">
        <v>3</v>
      </c>
      <c r="C352" s="486" t="s">
        <v>795</v>
      </c>
      <c r="D352" s="588" t="s">
        <v>153</v>
      </c>
      <c r="E352" s="463">
        <f t="shared" si="53"/>
        <v>14000</v>
      </c>
      <c r="F352" s="463"/>
      <c r="G352" s="463"/>
      <c r="H352" s="464"/>
      <c r="I352" s="465"/>
      <c r="J352" s="417">
        <f>$K$18</f>
        <v>74400</v>
      </c>
      <c r="K352" s="424"/>
      <c r="L352" s="424"/>
      <c r="M352" s="419"/>
      <c r="N352" s="602"/>
      <c r="O352" s="593"/>
      <c r="P352" s="324"/>
    </row>
    <row r="353" spans="1:16" ht="11.25" customHeight="1">
      <c r="A353" s="323">
        <v>301</v>
      </c>
      <c r="B353" s="587">
        <v>4</v>
      </c>
      <c r="C353" s="486" t="s">
        <v>796</v>
      </c>
      <c r="D353" s="588" t="s">
        <v>154</v>
      </c>
      <c r="E353" s="463">
        <f t="shared" si="53"/>
        <v>14000</v>
      </c>
      <c r="F353" s="463"/>
      <c r="G353" s="463"/>
      <c r="H353" s="464"/>
      <c r="I353" s="465"/>
      <c r="J353" s="417">
        <f>$K$20</f>
        <v>57000</v>
      </c>
      <c r="K353" s="424"/>
      <c r="L353" s="424"/>
      <c r="M353" s="419"/>
      <c r="N353" s="602"/>
      <c r="O353" s="593"/>
      <c r="P353" s="324"/>
    </row>
    <row r="354" spans="1:16" ht="11.25" customHeight="1">
      <c r="A354" s="323">
        <v>302</v>
      </c>
      <c r="B354" s="587"/>
      <c r="C354" s="486" t="s">
        <v>797</v>
      </c>
      <c r="D354" s="588" t="s">
        <v>154</v>
      </c>
      <c r="E354" s="463">
        <f t="shared" si="53"/>
        <v>14000</v>
      </c>
      <c r="F354" s="463"/>
      <c r="G354" s="463"/>
      <c r="H354" s="464"/>
      <c r="I354" s="465"/>
      <c r="J354" s="417">
        <f>$K$20</f>
        <v>57000</v>
      </c>
      <c r="K354" s="424"/>
      <c r="L354" s="424"/>
      <c r="M354" s="419"/>
      <c r="N354" s="602"/>
      <c r="O354" s="593"/>
      <c r="P354" s="324"/>
    </row>
    <row r="355" spans="1:16" ht="11.25" customHeight="1">
      <c r="A355" s="323">
        <v>303</v>
      </c>
      <c r="B355" s="587">
        <v>5</v>
      </c>
      <c r="C355" s="486" t="s">
        <v>798</v>
      </c>
      <c r="D355" s="588" t="s">
        <v>155</v>
      </c>
      <c r="E355" s="463">
        <f t="shared" si="53"/>
        <v>14000</v>
      </c>
      <c r="F355" s="463"/>
      <c r="G355" s="463"/>
      <c r="H355" s="464"/>
      <c r="I355" s="465"/>
      <c r="J355" s="417">
        <f>$K$21</f>
        <v>45800</v>
      </c>
      <c r="K355" s="424"/>
      <c r="L355" s="424"/>
      <c r="M355" s="419"/>
      <c r="N355" s="602"/>
      <c r="O355" s="593"/>
      <c r="P355" s="324"/>
    </row>
    <row r="356" spans="1:16" ht="11.25" customHeight="1">
      <c r="A356" s="323">
        <v>304</v>
      </c>
      <c r="B356" s="587">
        <v>6</v>
      </c>
      <c r="C356" s="486" t="s">
        <v>799</v>
      </c>
      <c r="D356" s="588" t="s">
        <v>483</v>
      </c>
      <c r="E356" s="463">
        <f t="shared" si="53"/>
        <v>14000</v>
      </c>
      <c r="F356" s="463"/>
      <c r="G356" s="463"/>
      <c r="H356" s="464"/>
      <c r="I356" s="465"/>
      <c r="J356" s="417">
        <f>$K$22</f>
        <v>35500</v>
      </c>
      <c r="K356" s="424"/>
      <c r="L356" s="424"/>
      <c r="M356" s="419"/>
      <c r="N356" s="602"/>
      <c r="O356" s="593"/>
      <c r="P356" s="324"/>
    </row>
    <row r="357" spans="1:16" ht="11.25" customHeight="1">
      <c r="A357" s="323">
        <v>305</v>
      </c>
      <c r="B357" s="587">
        <v>7</v>
      </c>
      <c r="C357" s="486" t="s">
        <v>800</v>
      </c>
      <c r="D357" s="588" t="s">
        <v>155</v>
      </c>
      <c r="E357" s="463">
        <f t="shared" si="53"/>
        <v>14000</v>
      </c>
      <c r="F357" s="463"/>
      <c r="G357" s="463"/>
      <c r="H357" s="464"/>
      <c r="I357" s="465"/>
      <c r="J357" s="417">
        <f>$K$21</f>
        <v>45800</v>
      </c>
      <c r="K357" s="424"/>
      <c r="L357" s="424"/>
      <c r="M357" s="419"/>
      <c r="N357" s="602"/>
      <c r="O357" s="593"/>
      <c r="P357" s="324"/>
    </row>
    <row r="358" spans="1:16" ht="11.25" customHeight="1">
      <c r="A358" s="323">
        <v>306</v>
      </c>
      <c r="B358" s="587">
        <v>8</v>
      </c>
      <c r="C358" s="486" t="s">
        <v>801</v>
      </c>
      <c r="D358" s="603" t="s">
        <v>802</v>
      </c>
      <c r="E358" s="358">
        <v>7000</v>
      </c>
      <c r="F358" s="463"/>
      <c r="G358" s="463"/>
      <c r="H358" s="464"/>
      <c r="I358" s="465"/>
      <c r="J358" s="558">
        <v>18760</v>
      </c>
      <c r="K358" s="604"/>
      <c r="L358" s="605"/>
      <c r="M358" s="606">
        <f t="shared" ref="M358:M365" si="54">IF(J358+(K358*J358+L358)=J358,0,L358+K358*J358)</f>
        <v>0</v>
      </c>
      <c r="N358" s="607">
        <f t="shared" ref="N358:N365" si="55">IF(J358+M358=J358,0,J358+M358)</f>
        <v>0</v>
      </c>
      <c r="O358" s="593"/>
      <c r="P358" s="324"/>
    </row>
    <row r="359" spans="1:16" ht="11.25" customHeight="1">
      <c r="A359" s="323">
        <v>307</v>
      </c>
      <c r="B359" s="587">
        <v>9</v>
      </c>
      <c r="C359" s="486" t="s">
        <v>803</v>
      </c>
      <c r="D359" s="603" t="str">
        <f>D358</f>
        <v>2/3</v>
      </c>
      <c r="E359" s="358">
        <v>7000</v>
      </c>
      <c r="F359" s="463"/>
      <c r="G359" s="463"/>
      <c r="H359" s="464"/>
      <c r="I359" s="465"/>
      <c r="J359" s="558">
        <v>31900</v>
      </c>
      <c r="K359" s="604"/>
      <c r="L359" s="605"/>
      <c r="M359" s="606">
        <f t="shared" si="54"/>
        <v>0</v>
      </c>
      <c r="N359" s="607">
        <f t="shared" si="55"/>
        <v>0</v>
      </c>
      <c r="O359" s="593"/>
      <c r="P359" s="324"/>
    </row>
    <row r="360" spans="1:16" ht="11.25" customHeight="1">
      <c r="A360" s="323">
        <v>308</v>
      </c>
      <c r="B360" s="587">
        <v>10</v>
      </c>
      <c r="C360" s="486" t="s">
        <v>804</v>
      </c>
      <c r="D360" s="603" t="str">
        <f>D359</f>
        <v>2/3</v>
      </c>
      <c r="E360" s="358">
        <v>7000</v>
      </c>
      <c r="F360" s="463"/>
      <c r="G360" s="463"/>
      <c r="H360" s="464"/>
      <c r="I360" s="465"/>
      <c r="J360" s="558">
        <v>27400</v>
      </c>
      <c r="K360" s="604"/>
      <c r="L360" s="605"/>
      <c r="M360" s="606">
        <f t="shared" si="54"/>
        <v>0</v>
      </c>
      <c r="N360" s="607">
        <f t="shared" si="55"/>
        <v>0</v>
      </c>
      <c r="O360" s="593"/>
      <c r="P360" s="324"/>
    </row>
    <row r="361" spans="1:16" ht="11.25" customHeight="1">
      <c r="A361" s="323">
        <v>309</v>
      </c>
      <c r="B361" s="587">
        <v>11</v>
      </c>
      <c r="C361" s="486" t="s">
        <v>805</v>
      </c>
      <c r="D361" s="603" t="str">
        <f>D360</f>
        <v>2/3</v>
      </c>
      <c r="E361" s="358">
        <v>7000</v>
      </c>
      <c r="F361" s="463"/>
      <c r="G361" s="463"/>
      <c r="H361" s="464"/>
      <c r="I361" s="465"/>
      <c r="J361" s="558">
        <v>30900</v>
      </c>
      <c r="K361" s="604"/>
      <c r="L361" s="605"/>
      <c r="M361" s="606">
        <f t="shared" si="54"/>
        <v>0</v>
      </c>
      <c r="N361" s="607">
        <f t="shared" si="55"/>
        <v>0</v>
      </c>
      <c r="O361" s="593"/>
      <c r="P361" s="324"/>
    </row>
    <row r="362" spans="1:16" ht="11.25" customHeight="1">
      <c r="A362" s="323">
        <v>310</v>
      </c>
      <c r="B362" s="587">
        <v>12</v>
      </c>
      <c r="C362" s="486" t="s">
        <v>806</v>
      </c>
      <c r="D362" s="358">
        <v>3</v>
      </c>
      <c r="E362" s="358">
        <v>7000</v>
      </c>
      <c r="F362" s="463"/>
      <c r="G362" s="463"/>
      <c r="H362" s="464"/>
      <c r="I362" s="465"/>
      <c r="J362" s="558">
        <v>27400</v>
      </c>
      <c r="K362" s="604"/>
      <c r="L362" s="605"/>
      <c r="M362" s="606">
        <f t="shared" si="54"/>
        <v>0</v>
      </c>
      <c r="N362" s="607">
        <f t="shared" si="55"/>
        <v>0</v>
      </c>
      <c r="O362" s="593"/>
      <c r="P362" s="324"/>
    </row>
    <row r="363" spans="1:16" ht="11.25" customHeight="1">
      <c r="A363" s="323">
        <v>311</v>
      </c>
      <c r="B363" s="587">
        <v>13</v>
      </c>
      <c r="C363" s="486" t="s">
        <v>807</v>
      </c>
      <c r="D363" s="588" t="s">
        <v>483</v>
      </c>
      <c r="E363" s="387">
        <f>$K$8</f>
        <v>14000</v>
      </c>
      <c r="F363" s="463"/>
      <c r="G363" s="463"/>
      <c r="H363" s="464"/>
      <c r="I363" s="465"/>
      <c r="J363" s="558">
        <f>$K$22</f>
        <v>35500</v>
      </c>
      <c r="K363" s="604"/>
      <c r="L363" s="605"/>
      <c r="M363" s="606">
        <f t="shared" si="54"/>
        <v>0</v>
      </c>
      <c r="N363" s="607">
        <f t="shared" si="55"/>
        <v>0</v>
      </c>
      <c r="O363" s="593"/>
      <c r="P363" s="324"/>
    </row>
    <row r="364" spans="1:16" ht="11.25" customHeight="1">
      <c r="A364" s="323">
        <v>312</v>
      </c>
      <c r="B364" s="587">
        <v>14</v>
      </c>
      <c r="C364" s="486" t="s">
        <v>808</v>
      </c>
      <c r="D364" s="588">
        <v>3</v>
      </c>
      <c r="E364" s="387">
        <f>K10</f>
        <v>10000</v>
      </c>
      <c r="F364" s="463"/>
      <c r="G364" s="463"/>
      <c r="H364" s="464"/>
      <c r="I364" s="465"/>
      <c r="J364" s="558">
        <v>27000</v>
      </c>
      <c r="K364" s="604"/>
      <c r="L364" s="605"/>
      <c r="M364" s="606">
        <f t="shared" si="54"/>
        <v>0</v>
      </c>
      <c r="N364" s="607">
        <f t="shared" si="55"/>
        <v>0</v>
      </c>
      <c r="O364" s="593"/>
      <c r="P364" s="324"/>
    </row>
    <row r="365" spans="1:16" ht="11.25" customHeight="1">
      <c r="A365" s="323">
        <v>313</v>
      </c>
      <c r="B365" s="587">
        <v>15</v>
      </c>
      <c r="C365" s="486" t="s">
        <v>809</v>
      </c>
      <c r="D365" s="608" t="s">
        <v>810</v>
      </c>
      <c r="E365" s="387">
        <f>K11</f>
        <v>8000</v>
      </c>
      <c r="F365" s="463"/>
      <c r="G365" s="463"/>
      <c r="H365" s="464"/>
      <c r="I365" s="465"/>
      <c r="J365" s="558">
        <v>16500</v>
      </c>
      <c r="K365" s="604"/>
      <c r="L365" s="605"/>
      <c r="M365" s="606">
        <f t="shared" si="54"/>
        <v>0</v>
      </c>
      <c r="N365" s="607">
        <f t="shared" si="55"/>
        <v>0</v>
      </c>
      <c r="O365" s="593"/>
      <c r="P365" s="324"/>
    </row>
    <row r="366" spans="1:16" ht="11.25" customHeight="1">
      <c r="A366" s="323">
        <v>314</v>
      </c>
      <c r="B366" s="442"/>
      <c r="C366" s="609" t="s">
        <v>811</v>
      </c>
      <c r="D366" s="444"/>
      <c r="E366" s="610"/>
      <c r="F366" s="610"/>
      <c r="G366" s="610"/>
      <c r="H366" s="611"/>
      <c r="I366" s="612"/>
      <c r="J366" s="610"/>
      <c r="K366" s="610"/>
      <c r="L366" s="610"/>
      <c r="M366" s="610"/>
      <c r="N366" s="610"/>
      <c r="O366" s="593"/>
      <c r="P366" s="324"/>
    </row>
    <row r="367" spans="1:16" ht="11.25" customHeight="1">
      <c r="A367" s="323">
        <v>315</v>
      </c>
      <c r="B367" s="587">
        <v>1</v>
      </c>
      <c r="C367" s="486" t="s">
        <v>812</v>
      </c>
      <c r="D367" s="588" t="s">
        <v>153</v>
      </c>
      <c r="E367" s="463">
        <f t="shared" ref="E367:E373" si="56">$K$8</f>
        <v>14000</v>
      </c>
      <c r="F367" s="463"/>
      <c r="G367" s="463"/>
      <c r="H367" s="464"/>
      <c r="I367" s="465"/>
      <c r="J367" s="417">
        <f>$K$18</f>
        <v>74400</v>
      </c>
      <c r="K367" s="604"/>
      <c r="L367" s="605"/>
      <c r="M367" s="606">
        <f t="shared" ref="M367:M373" si="57">IF(J367+(K367*J367+L367)=J367,0,L367+K367*J367)</f>
        <v>0</v>
      </c>
      <c r="N367" s="607">
        <f t="shared" ref="N367:N373" si="58">IF(J367+M367=J367,0,J367+M367)</f>
        <v>0</v>
      </c>
      <c r="O367" s="593"/>
      <c r="P367" s="324"/>
    </row>
    <row r="368" spans="1:16" ht="11.25" customHeight="1">
      <c r="A368" s="323">
        <v>316</v>
      </c>
      <c r="B368" s="587"/>
      <c r="C368" s="486" t="s">
        <v>813</v>
      </c>
      <c r="D368" s="588" t="s">
        <v>481</v>
      </c>
      <c r="E368" s="463">
        <f t="shared" si="56"/>
        <v>14000</v>
      </c>
      <c r="F368" s="463"/>
      <c r="G368" s="463"/>
      <c r="H368" s="464"/>
      <c r="I368" s="465"/>
      <c r="J368" s="417">
        <f>$K$19</f>
        <v>65200</v>
      </c>
      <c r="K368" s="604"/>
      <c r="L368" s="605"/>
      <c r="M368" s="606">
        <f t="shared" si="57"/>
        <v>0</v>
      </c>
      <c r="N368" s="607">
        <f t="shared" si="58"/>
        <v>0</v>
      </c>
      <c r="O368" s="593"/>
      <c r="P368" s="324"/>
    </row>
    <row r="369" spans="1:16" ht="11.25" customHeight="1">
      <c r="A369" s="323">
        <v>317</v>
      </c>
      <c r="B369" s="587">
        <v>2</v>
      </c>
      <c r="C369" s="486" t="s">
        <v>796</v>
      </c>
      <c r="D369" s="588" t="s">
        <v>154</v>
      </c>
      <c r="E369" s="463">
        <f t="shared" si="56"/>
        <v>14000</v>
      </c>
      <c r="F369" s="463"/>
      <c r="G369" s="463"/>
      <c r="H369" s="464"/>
      <c r="I369" s="465"/>
      <c r="J369" s="417">
        <f>$K$20</f>
        <v>57000</v>
      </c>
      <c r="K369" s="604"/>
      <c r="L369" s="605"/>
      <c r="M369" s="606">
        <f t="shared" si="57"/>
        <v>0</v>
      </c>
      <c r="N369" s="607">
        <f t="shared" si="58"/>
        <v>0</v>
      </c>
      <c r="O369" s="593"/>
      <c r="P369" s="324"/>
    </row>
    <row r="370" spans="1:16" ht="11.25" customHeight="1">
      <c r="A370" s="323">
        <v>318</v>
      </c>
      <c r="B370" s="587"/>
      <c r="C370" s="486" t="s">
        <v>797</v>
      </c>
      <c r="D370" s="588" t="s">
        <v>154</v>
      </c>
      <c r="E370" s="463">
        <f t="shared" si="56"/>
        <v>14000</v>
      </c>
      <c r="F370" s="463"/>
      <c r="G370" s="463"/>
      <c r="H370" s="464"/>
      <c r="I370" s="465"/>
      <c r="J370" s="417">
        <f>$K$20</f>
        <v>57000</v>
      </c>
      <c r="K370" s="604"/>
      <c r="L370" s="605"/>
      <c r="M370" s="606">
        <f t="shared" si="57"/>
        <v>0</v>
      </c>
      <c r="N370" s="607">
        <f t="shared" si="58"/>
        <v>0</v>
      </c>
      <c r="O370" s="593"/>
      <c r="P370" s="324"/>
    </row>
    <row r="371" spans="1:16" ht="11.25" customHeight="1">
      <c r="A371" s="323">
        <v>319</v>
      </c>
      <c r="B371" s="587">
        <v>3</v>
      </c>
      <c r="C371" s="486" t="s">
        <v>798</v>
      </c>
      <c r="D371" s="588" t="s">
        <v>155</v>
      </c>
      <c r="E371" s="463">
        <f t="shared" si="56"/>
        <v>14000</v>
      </c>
      <c r="F371" s="463"/>
      <c r="G371" s="463"/>
      <c r="H371" s="464"/>
      <c r="I371" s="465"/>
      <c r="J371" s="417">
        <f>$K$21</f>
        <v>45800</v>
      </c>
      <c r="K371" s="604"/>
      <c r="L371" s="605"/>
      <c r="M371" s="606">
        <f t="shared" si="57"/>
        <v>0</v>
      </c>
      <c r="N371" s="607">
        <f t="shared" si="58"/>
        <v>0</v>
      </c>
      <c r="O371" s="593"/>
      <c r="P371" s="324"/>
    </row>
    <row r="372" spans="1:16" ht="11.25" customHeight="1">
      <c r="A372" s="323">
        <v>320</v>
      </c>
      <c r="B372" s="587">
        <v>4</v>
      </c>
      <c r="C372" s="486" t="s">
        <v>799</v>
      </c>
      <c r="D372" s="588" t="s">
        <v>483</v>
      </c>
      <c r="E372" s="463">
        <f t="shared" si="56"/>
        <v>14000</v>
      </c>
      <c r="F372" s="463"/>
      <c r="G372" s="463"/>
      <c r="H372" s="464"/>
      <c r="I372" s="465"/>
      <c r="J372" s="417">
        <f>$K$22</f>
        <v>35500</v>
      </c>
      <c r="K372" s="604"/>
      <c r="L372" s="605"/>
      <c r="M372" s="606">
        <f t="shared" si="57"/>
        <v>0</v>
      </c>
      <c r="N372" s="607">
        <f t="shared" si="58"/>
        <v>0</v>
      </c>
      <c r="O372" s="593"/>
      <c r="P372" s="324"/>
    </row>
    <row r="373" spans="1:16" ht="11.25" customHeight="1">
      <c r="A373" s="323">
        <v>321</v>
      </c>
      <c r="B373" s="587"/>
      <c r="C373" s="486" t="s">
        <v>800</v>
      </c>
      <c r="D373" s="588" t="s">
        <v>155</v>
      </c>
      <c r="E373" s="463">
        <f t="shared" si="56"/>
        <v>14000</v>
      </c>
      <c r="F373" s="463"/>
      <c r="G373" s="463"/>
      <c r="H373" s="464"/>
      <c r="I373" s="465"/>
      <c r="J373" s="417">
        <f>$K$21</f>
        <v>45800</v>
      </c>
      <c r="K373" s="604"/>
      <c r="L373" s="605"/>
      <c r="M373" s="606">
        <f t="shared" si="57"/>
        <v>0</v>
      </c>
      <c r="N373" s="607">
        <f t="shared" si="58"/>
        <v>0</v>
      </c>
      <c r="O373" s="593"/>
      <c r="P373" s="324"/>
    </row>
    <row r="374" spans="1:16" ht="11.25" customHeight="1">
      <c r="A374" s="323">
        <v>322</v>
      </c>
      <c r="B374" s="587"/>
      <c r="C374" s="486" t="s">
        <v>814</v>
      </c>
      <c r="D374" s="588"/>
      <c r="E374" s="463">
        <f>$K$10</f>
        <v>10000</v>
      </c>
      <c r="F374" s="613"/>
      <c r="G374" s="613"/>
      <c r="H374" s="614"/>
      <c r="I374" s="615"/>
      <c r="J374" s="558">
        <v>18760</v>
      </c>
      <c r="K374" s="604"/>
      <c r="L374" s="605"/>
      <c r="M374" s="606">
        <f>IF(J374+(K374*J374+L374)=J374,0,L374+K374*J374)</f>
        <v>0</v>
      </c>
      <c r="N374" s="607">
        <f>IF(J374+M374=J374,0,J374+M374)</f>
        <v>0</v>
      </c>
      <c r="O374" s="593"/>
      <c r="P374" s="324"/>
    </row>
    <row r="375" spans="1:16" ht="11.25" customHeight="1">
      <c r="A375" s="323">
        <v>323</v>
      </c>
      <c r="B375" s="587">
        <v>5</v>
      </c>
      <c r="C375" s="486" t="s">
        <v>815</v>
      </c>
      <c r="D375" s="588"/>
      <c r="E375" s="463">
        <f>$K$10</f>
        <v>10000</v>
      </c>
      <c r="F375" s="613"/>
      <c r="G375" s="613"/>
      <c r="H375" s="614"/>
      <c r="I375" s="615"/>
      <c r="J375" s="558">
        <v>27400</v>
      </c>
      <c r="K375" s="604"/>
      <c r="L375" s="605"/>
      <c r="M375" s="606">
        <f t="shared" ref="M375:M389" si="59">IF(J375+(K375*J375+L375)=J375,0,L375+K375*J375)</f>
        <v>0</v>
      </c>
      <c r="N375" s="607">
        <f t="shared" ref="N375:N389" si="60">IF(J375+M375=J375,0,J375+M375)</f>
        <v>0</v>
      </c>
      <c r="O375" s="593"/>
      <c r="P375" s="324"/>
    </row>
    <row r="376" spans="1:16" ht="11.25" customHeight="1">
      <c r="A376" s="323">
        <v>324</v>
      </c>
      <c r="B376" s="587">
        <v>11</v>
      </c>
      <c r="C376" s="486" t="s">
        <v>808</v>
      </c>
      <c r="D376" s="588"/>
      <c r="E376" s="463">
        <f>$K$10</f>
        <v>10000</v>
      </c>
      <c r="F376" s="616"/>
      <c r="G376" s="616"/>
      <c r="H376" s="617"/>
      <c r="I376" s="618"/>
      <c r="J376" s="558">
        <v>27400</v>
      </c>
      <c r="K376" s="604"/>
      <c r="L376" s="605"/>
      <c r="M376" s="606">
        <f t="shared" si="59"/>
        <v>0</v>
      </c>
      <c r="N376" s="607">
        <f t="shared" si="60"/>
        <v>0</v>
      </c>
      <c r="O376" s="593"/>
      <c r="P376" s="324"/>
    </row>
    <row r="377" spans="1:16" ht="11.25" customHeight="1">
      <c r="A377" s="323">
        <v>325</v>
      </c>
      <c r="B377" s="587">
        <v>15</v>
      </c>
      <c r="C377" s="486" t="s">
        <v>816</v>
      </c>
      <c r="D377" s="588"/>
      <c r="E377" s="463">
        <f>$K$10</f>
        <v>10000</v>
      </c>
      <c r="F377" s="616"/>
      <c r="G377" s="616"/>
      <c r="H377" s="617"/>
      <c r="I377" s="618"/>
      <c r="J377" s="558">
        <v>26500</v>
      </c>
      <c r="K377" s="604"/>
      <c r="L377" s="605"/>
      <c r="M377" s="606">
        <f t="shared" si="59"/>
        <v>0</v>
      </c>
      <c r="N377" s="607">
        <f t="shared" si="60"/>
        <v>0</v>
      </c>
      <c r="O377" s="593"/>
      <c r="P377" s="324"/>
    </row>
    <row r="378" spans="1:16" ht="11.25" customHeight="1">
      <c r="A378" s="323">
        <v>326</v>
      </c>
      <c r="B378" s="587">
        <v>16</v>
      </c>
      <c r="C378" s="486" t="s">
        <v>809</v>
      </c>
      <c r="D378" s="588"/>
      <c r="E378" s="463">
        <f>$K$11</f>
        <v>8000</v>
      </c>
      <c r="F378" s="613"/>
      <c r="G378" s="613"/>
      <c r="H378" s="614"/>
      <c r="I378" s="615"/>
      <c r="J378" s="558">
        <v>16500</v>
      </c>
      <c r="K378" s="604"/>
      <c r="L378" s="605"/>
      <c r="M378" s="606">
        <f t="shared" si="59"/>
        <v>0</v>
      </c>
      <c r="N378" s="607">
        <f t="shared" si="60"/>
        <v>0</v>
      </c>
      <c r="O378" s="593"/>
      <c r="P378" s="324"/>
    </row>
    <row r="379" spans="1:16" ht="12.75" customHeight="1">
      <c r="A379" s="323">
        <v>327</v>
      </c>
      <c r="B379" s="619" t="s">
        <v>817</v>
      </c>
      <c r="C379" s="609"/>
      <c r="D379" s="444"/>
      <c r="E379" s="620"/>
      <c r="F379" s="620"/>
      <c r="G379" s="620"/>
      <c r="H379" s="621"/>
      <c r="I379" s="622"/>
      <c r="J379" s="620"/>
      <c r="K379" s="620"/>
      <c r="L379" s="620"/>
      <c r="M379" s="620"/>
      <c r="N379" s="620"/>
      <c r="O379" s="593"/>
      <c r="P379" s="324"/>
    </row>
    <row r="380" spans="1:16" ht="12.75" customHeight="1">
      <c r="A380" s="323">
        <v>328</v>
      </c>
      <c r="B380" s="587">
        <v>1</v>
      </c>
      <c r="C380" s="486" t="s">
        <v>812</v>
      </c>
      <c r="D380" s="588" t="s">
        <v>481</v>
      </c>
      <c r="E380" s="463">
        <f>$K$8</f>
        <v>14000</v>
      </c>
      <c r="F380" s="463"/>
      <c r="G380" s="463"/>
      <c r="H380" s="464"/>
      <c r="I380" s="465"/>
      <c r="J380" s="417">
        <f>$K$19</f>
        <v>65200</v>
      </c>
      <c r="K380" s="572"/>
      <c r="L380" s="572"/>
      <c r="M380" s="572"/>
      <c r="N380" s="572"/>
      <c r="O380" s="593"/>
      <c r="P380" s="324"/>
    </row>
    <row r="381" spans="1:16" ht="12.75" customHeight="1">
      <c r="A381" s="323">
        <v>329</v>
      </c>
      <c r="B381" s="587">
        <v>2</v>
      </c>
      <c r="C381" s="486" t="s">
        <v>796</v>
      </c>
      <c r="D381" s="588" t="s">
        <v>154</v>
      </c>
      <c r="E381" s="463">
        <f>$K$8</f>
        <v>14000</v>
      </c>
      <c r="F381" s="463"/>
      <c r="G381" s="463"/>
      <c r="H381" s="464"/>
      <c r="I381" s="465"/>
      <c r="J381" s="417">
        <f>$K$20</f>
        <v>57000</v>
      </c>
      <c r="K381" s="572"/>
      <c r="L381" s="572"/>
      <c r="M381" s="572"/>
      <c r="N381" s="572"/>
      <c r="O381" s="593"/>
      <c r="P381" s="324"/>
    </row>
    <row r="382" spans="1:16" ht="12.75" customHeight="1">
      <c r="A382" s="323">
        <v>330</v>
      </c>
      <c r="B382" s="587">
        <v>3</v>
      </c>
      <c r="C382" s="486" t="s">
        <v>818</v>
      </c>
      <c r="D382" s="588" t="s">
        <v>155</v>
      </c>
      <c r="E382" s="463">
        <f>$K$8</f>
        <v>14000</v>
      </c>
      <c r="F382" s="463"/>
      <c r="G382" s="463"/>
      <c r="H382" s="464"/>
      <c r="I382" s="465"/>
      <c r="J382" s="417">
        <f>$K$21</f>
        <v>45800</v>
      </c>
      <c r="K382" s="572"/>
      <c r="L382" s="572"/>
      <c r="M382" s="572"/>
      <c r="N382" s="572"/>
      <c r="O382" s="593"/>
      <c r="P382" s="324"/>
    </row>
    <row r="383" spans="1:16" ht="12.75" customHeight="1">
      <c r="A383" s="323">
        <v>331</v>
      </c>
      <c r="B383" s="587">
        <v>4</v>
      </c>
      <c r="C383" s="486" t="s">
        <v>799</v>
      </c>
      <c r="D383" s="588" t="s">
        <v>483</v>
      </c>
      <c r="E383" s="463">
        <f>$K$8</f>
        <v>14000</v>
      </c>
      <c r="F383" s="463"/>
      <c r="G383" s="463"/>
      <c r="H383" s="464"/>
      <c r="I383" s="465"/>
      <c r="J383" s="417">
        <f>$K$22</f>
        <v>35500</v>
      </c>
      <c r="K383" s="572"/>
      <c r="L383" s="572"/>
      <c r="M383" s="572"/>
      <c r="N383" s="572"/>
      <c r="O383" s="593"/>
      <c r="P383" s="324"/>
    </row>
    <row r="384" spans="1:16" ht="12.75" customHeight="1">
      <c r="A384" s="323">
        <v>332</v>
      </c>
      <c r="B384" s="587">
        <v>5</v>
      </c>
      <c r="C384" s="486" t="s">
        <v>800</v>
      </c>
      <c r="D384" s="588" t="s">
        <v>155</v>
      </c>
      <c r="E384" s="463">
        <f>$K$8</f>
        <v>14000</v>
      </c>
      <c r="F384" s="463"/>
      <c r="G384" s="463"/>
      <c r="H384" s="464"/>
      <c r="I384" s="465"/>
      <c r="J384" s="417">
        <f>$K$21</f>
        <v>45800</v>
      </c>
      <c r="K384" s="572"/>
      <c r="L384" s="572"/>
      <c r="M384" s="572"/>
      <c r="N384" s="572"/>
      <c r="O384" s="593"/>
      <c r="P384" s="324"/>
    </row>
    <row r="385" spans="1:16" ht="12.75" customHeight="1">
      <c r="A385" s="323">
        <v>333</v>
      </c>
      <c r="B385" s="587">
        <v>6</v>
      </c>
      <c r="C385" s="486" t="s">
        <v>814</v>
      </c>
      <c r="D385" s="613" t="s">
        <v>802</v>
      </c>
      <c r="E385" s="416">
        <f>$K$10</f>
        <v>10000</v>
      </c>
      <c r="F385" s="613"/>
      <c r="G385" s="613"/>
      <c r="H385" s="614"/>
      <c r="I385" s="615"/>
      <c r="J385" s="558">
        <v>18760</v>
      </c>
      <c r="K385" s="604"/>
      <c r="L385" s="605"/>
      <c r="M385" s="606">
        <f t="shared" si="59"/>
        <v>0</v>
      </c>
      <c r="N385" s="607">
        <f t="shared" si="60"/>
        <v>0</v>
      </c>
      <c r="O385" s="593"/>
      <c r="P385" s="324"/>
    </row>
    <row r="386" spans="1:16">
      <c r="A386" s="323">
        <v>334</v>
      </c>
      <c r="B386" s="587">
        <v>7</v>
      </c>
      <c r="C386" s="486" t="s">
        <v>819</v>
      </c>
      <c r="D386" s="616" t="str">
        <f>D385</f>
        <v>2/3</v>
      </c>
      <c r="E386" s="416">
        <f>$K$10</f>
        <v>10000</v>
      </c>
      <c r="F386" s="616"/>
      <c r="G386" s="616"/>
      <c r="H386" s="617"/>
      <c r="I386" s="618"/>
      <c r="J386" s="558">
        <v>27400</v>
      </c>
      <c r="K386" s="604"/>
      <c r="L386" s="605"/>
      <c r="M386" s="606">
        <f t="shared" si="59"/>
        <v>0</v>
      </c>
      <c r="N386" s="607">
        <f t="shared" si="60"/>
        <v>0</v>
      </c>
      <c r="O386" s="593"/>
      <c r="P386" s="324"/>
    </row>
    <row r="387" spans="1:16" ht="12.75" customHeight="1">
      <c r="A387" s="323">
        <v>335</v>
      </c>
      <c r="B387" s="587">
        <v>8</v>
      </c>
      <c r="C387" s="486" t="s">
        <v>808</v>
      </c>
      <c r="D387" s="616">
        <v>3</v>
      </c>
      <c r="E387" s="416">
        <f>$K$10</f>
        <v>10000</v>
      </c>
      <c r="F387" s="616"/>
      <c r="G387" s="616"/>
      <c r="H387" s="617"/>
      <c r="I387" s="618"/>
      <c r="J387" s="558">
        <v>27400</v>
      </c>
      <c r="K387" s="604"/>
      <c r="L387" s="605"/>
      <c r="M387" s="606">
        <f t="shared" si="59"/>
        <v>0</v>
      </c>
      <c r="N387" s="607">
        <f t="shared" si="60"/>
        <v>0</v>
      </c>
      <c r="O387" s="593"/>
      <c r="P387" s="324"/>
    </row>
    <row r="388" spans="1:16" ht="12.75" customHeight="1">
      <c r="A388" s="323">
        <v>336</v>
      </c>
      <c r="B388" s="587">
        <v>9</v>
      </c>
      <c r="C388" s="486" t="s">
        <v>816</v>
      </c>
      <c r="D388" s="616">
        <v>3</v>
      </c>
      <c r="E388" s="416">
        <f>$K$10</f>
        <v>10000</v>
      </c>
      <c r="F388" s="616"/>
      <c r="G388" s="616"/>
      <c r="H388" s="617"/>
      <c r="I388" s="618"/>
      <c r="J388" s="558">
        <v>26500</v>
      </c>
      <c r="K388" s="604"/>
      <c r="L388" s="605"/>
      <c r="M388" s="606">
        <f t="shared" si="59"/>
        <v>0</v>
      </c>
      <c r="N388" s="607">
        <f t="shared" si="60"/>
        <v>0</v>
      </c>
      <c r="O388" s="593"/>
      <c r="P388" s="324"/>
    </row>
    <row r="389" spans="1:16" ht="12.75" customHeight="1">
      <c r="A389" s="323">
        <v>337</v>
      </c>
      <c r="B389" s="587">
        <v>10</v>
      </c>
      <c r="C389" s="486" t="s">
        <v>809</v>
      </c>
      <c r="D389" s="613" t="s">
        <v>810</v>
      </c>
      <c r="E389" s="416">
        <f>K11</f>
        <v>8000</v>
      </c>
      <c r="F389" s="613"/>
      <c r="G389" s="613"/>
      <c r="H389" s="614"/>
      <c r="I389" s="615"/>
      <c r="J389" s="558">
        <v>16500</v>
      </c>
      <c r="K389" s="604"/>
      <c r="L389" s="605"/>
      <c r="M389" s="606">
        <f t="shared" si="59"/>
        <v>0</v>
      </c>
      <c r="N389" s="607">
        <f t="shared" si="60"/>
        <v>0</v>
      </c>
      <c r="O389" s="593"/>
      <c r="P389" s="324"/>
    </row>
    <row r="390" spans="1:16" ht="33.75">
      <c r="A390" s="323">
        <v>338</v>
      </c>
      <c r="B390" s="623"/>
      <c r="C390" s="624" t="s">
        <v>820</v>
      </c>
      <c r="D390" s="625"/>
      <c r="E390" s="411" t="s">
        <v>821</v>
      </c>
      <c r="F390" s="411"/>
      <c r="G390" s="411"/>
      <c r="H390" s="411"/>
      <c r="I390" s="411"/>
      <c r="J390" s="411" t="str">
        <f>E390</f>
        <v xml:space="preserve">Paga Ekzistuese </v>
      </c>
      <c r="K390" s="411"/>
      <c r="L390" s="411"/>
      <c r="M390" s="411"/>
      <c r="N390" s="411"/>
      <c r="O390" s="626"/>
      <c r="P390" s="324"/>
    </row>
    <row r="391" spans="1:16" ht="25.5" customHeight="1">
      <c r="A391" s="323">
        <v>339</v>
      </c>
      <c r="B391" s="587"/>
      <c r="C391" s="486" t="s">
        <v>792</v>
      </c>
      <c r="D391" s="588" t="s">
        <v>150</v>
      </c>
      <c r="E391" s="463">
        <f t="shared" ref="E391:E396" si="61">$K$8</f>
        <v>14000</v>
      </c>
      <c r="F391" s="463"/>
      <c r="G391" s="463"/>
      <c r="H391" s="464"/>
      <c r="I391" s="465"/>
      <c r="J391" s="417">
        <f>$K$16</f>
        <v>107800</v>
      </c>
      <c r="K391" s="424"/>
      <c r="L391" s="424"/>
      <c r="M391" s="424"/>
      <c r="N391" s="419"/>
      <c r="O391" s="1734" t="s">
        <v>822</v>
      </c>
      <c r="P391" s="324"/>
    </row>
    <row r="392" spans="1:16">
      <c r="A392" s="323">
        <v>340</v>
      </c>
      <c r="B392" s="587"/>
      <c r="C392" s="486" t="s">
        <v>823</v>
      </c>
      <c r="D392" s="588" t="s">
        <v>151</v>
      </c>
      <c r="E392" s="463">
        <f t="shared" si="61"/>
        <v>14000</v>
      </c>
      <c r="F392" s="463"/>
      <c r="G392" s="463"/>
      <c r="H392" s="464"/>
      <c r="I392" s="465"/>
      <c r="J392" s="417">
        <f>$K$17</f>
        <v>91700</v>
      </c>
      <c r="K392" s="424"/>
      <c r="L392" s="424"/>
      <c r="M392" s="424"/>
      <c r="N392" s="419"/>
      <c r="O392" s="1735"/>
      <c r="P392" s="324"/>
    </row>
    <row r="393" spans="1:16" ht="38.25" customHeight="1">
      <c r="A393" s="323">
        <v>341</v>
      </c>
      <c r="B393" s="587" t="s">
        <v>540</v>
      </c>
      <c r="C393" s="486" t="s">
        <v>824</v>
      </c>
      <c r="D393" s="588" t="s">
        <v>153</v>
      </c>
      <c r="E393" s="463">
        <f t="shared" si="61"/>
        <v>14000</v>
      </c>
      <c r="F393" s="463"/>
      <c r="G393" s="463"/>
      <c r="H393" s="464"/>
      <c r="I393" s="465"/>
      <c r="J393" s="417">
        <f>$K$18</f>
        <v>74400</v>
      </c>
      <c r="K393" s="424"/>
      <c r="L393" s="424"/>
      <c r="M393" s="424"/>
      <c r="N393" s="419"/>
      <c r="O393" s="1735"/>
      <c r="P393" s="324"/>
    </row>
    <row r="394" spans="1:16" ht="26.25" customHeight="1">
      <c r="A394" s="323">
        <v>342</v>
      </c>
      <c r="B394" s="587" t="s">
        <v>502</v>
      </c>
      <c r="C394" s="486" t="s">
        <v>825</v>
      </c>
      <c r="D394" s="588" t="s">
        <v>481</v>
      </c>
      <c r="E394" s="463">
        <f t="shared" si="61"/>
        <v>14000</v>
      </c>
      <c r="F394" s="463"/>
      <c r="G394" s="463"/>
      <c r="H394" s="464"/>
      <c r="I394" s="465"/>
      <c r="J394" s="417">
        <f>$K$19</f>
        <v>65200</v>
      </c>
      <c r="K394" s="424"/>
      <c r="L394" s="424"/>
      <c r="M394" s="424"/>
      <c r="N394" s="419"/>
      <c r="O394" s="1735"/>
      <c r="P394" s="324"/>
    </row>
    <row r="395" spans="1:16" ht="59.25" customHeight="1">
      <c r="A395" s="323">
        <v>343</v>
      </c>
      <c r="B395" s="587" t="s">
        <v>624</v>
      </c>
      <c r="C395" s="486" t="s">
        <v>826</v>
      </c>
      <c r="D395" s="588" t="s">
        <v>154</v>
      </c>
      <c r="E395" s="463">
        <f t="shared" si="61"/>
        <v>14000</v>
      </c>
      <c r="F395" s="463"/>
      <c r="G395" s="463"/>
      <c r="H395" s="464"/>
      <c r="I395" s="465"/>
      <c r="J395" s="417">
        <f>$K$20</f>
        <v>57000</v>
      </c>
      <c r="K395" s="424"/>
      <c r="L395" s="424"/>
      <c r="M395" s="424"/>
      <c r="N395" s="419"/>
      <c r="O395" s="1735"/>
      <c r="P395" s="324"/>
    </row>
    <row r="396" spans="1:16" ht="22.5">
      <c r="A396" s="323">
        <v>344</v>
      </c>
      <c r="B396" s="587" t="s">
        <v>626</v>
      </c>
      <c r="C396" s="486" t="s">
        <v>827</v>
      </c>
      <c r="D396" s="588" t="s">
        <v>155</v>
      </c>
      <c r="E396" s="463">
        <f t="shared" si="61"/>
        <v>14000</v>
      </c>
      <c r="F396" s="463"/>
      <c r="G396" s="463"/>
      <c r="H396" s="464"/>
      <c r="I396" s="465"/>
      <c r="J396" s="417">
        <f>$K$21</f>
        <v>45800</v>
      </c>
      <c r="K396" s="424"/>
      <c r="L396" s="424"/>
      <c r="M396" s="424"/>
      <c r="N396" s="419"/>
      <c r="O396" s="1735"/>
      <c r="P396" s="324"/>
    </row>
    <row r="397" spans="1:16" ht="22.5">
      <c r="A397" s="323">
        <v>345</v>
      </c>
      <c r="B397" s="587" t="s">
        <v>628</v>
      </c>
      <c r="C397" s="486" t="s">
        <v>828</v>
      </c>
      <c r="D397" s="588" t="s">
        <v>483</v>
      </c>
      <c r="E397" s="463">
        <f>$K$9</f>
        <v>11000</v>
      </c>
      <c r="F397" s="613"/>
      <c r="G397" s="613"/>
      <c r="H397" s="614"/>
      <c r="I397" s="615"/>
      <c r="J397" s="417">
        <f>$K$22</f>
        <v>35500</v>
      </c>
      <c r="K397" s="424"/>
      <c r="L397" s="424"/>
      <c r="M397" s="424"/>
      <c r="N397" s="419"/>
      <c r="O397" s="1735"/>
      <c r="P397" s="324"/>
    </row>
    <row r="398" spans="1:16" ht="22.5">
      <c r="A398" s="323">
        <v>346</v>
      </c>
      <c r="B398" s="587" t="s">
        <v>829</v>
      </c>
      <c r="C398" s="486" t="s">
        <v>830</v>
      </c>
      <c r="D398" s="588"/>
      <c r="E398" s="463">
        <f>$K$9</f>
        <v>11000</v>
      </c>
      <c r="F398" s="613"/>
      <c r="G398" s="613"/>
      <c r="H398" s="614"/>
      <c r="I398" s="615"/>
      <c r="J398" s="627">
        <v>27400</v>
      </c>
      <c r="K398" s="628"/>
      <c r="L398" s="422"/>
      <c r="M398" s="422">
        <f>IF(J398+(K398*J398+L398)=J398,0,L398+K398*J398)</f>
        <v>0</v>
      </c>
      <c r="N398" s="421">
        <f>IF(J398+M398=J398,0,J398+M398)</f>
        <v>0</v>
      </c>
      <c r="O398" s="1735"/>
      <c r="P398" s="324"/>
    </row>
    <row r="399" spans="1:16">
      <c r="A399" s="323">
        <v>347</v>
      </c>
      <c r="B399" s="587" t="s">
        <v>831</v>
      </c>
      <c r="C399" s="486" t="s">
        <v>832</v>
      </c>
      <c r="D399" s="588"/>
      <c r="E399" s="627">
        <v>18500</v>
      </c>
      <c r="F399" s="629"/>
      <c r="G399" s="627"/>
      <c r="H399" s="535">
        <f>IF(E399+(F399*E399+G399)=E399,0,G399+F399*E399)</f>
        <v>0</v>
      </c>
      <c r="I399" s="421">
        <f>IF(E399+H399=E399,0,E399+H399)</f>
        <v>0</v>
      </c>
      <c r="J399" s="358"/>
      <c r="K399" s="424"/>
      <c r="L399" s="424"/>
      <c r="M399" s="424"/>
      <c r="N399" s="419"/>
      <c r="O399" s="1735"/>
      <c r="P399" s="324"/>
    </row>
    <row r="400" spans="1:16">
      <c r="A400" s="323">
        <v>348</v>
      </c>
      <c r="B400" s="587" t="s">
        <v>831</v>
      </c>
      <c r="C400" s="486" t="s">
        <v>833</v>
      </c>
      <c r="D400" s="588"/>
      <c r="E400" s="627">
        <v>16500</v>
      </c>
      <c r="F400" s="629"/>
      <c r="G400" s="627"/>
      <c r="H400" s="535">
        <f>IF(E400+(F400*E400+G400)=E400,0,G400+F400*E400)</f>
        <v>0</v>
      </c>
      <c r="I400" s="421">
        <f>IF(E400+H400=E400,0,E400+H400)</f>
        <v>0</v>
      </c>
      <c r="J400" s="358"/>
      <c r="K400" s="424"/>
      <c r="L400" s="424"/>
      <c r="M400" s="424"/>
      <c r="N400" s="419"/>
      <c r="O400" s="1736"/>
      <c r="P400" s="324"/>
    </row>
    <row r="401" spans="1:16" ht="56.25">
      <c r="A401" s="323">
        <v>360</v>
      </c>
      <c r="B401" s="630"/>
      <c r="C401" s="530" t="s">
        <v>834</v>
      </c>
      <c r="D401" s="566"/>
      <c r="E401" s="411" t="s">
        <v>513</v>
      </c>
      <c r="F401" s="411" t="s">
        <v>514</v>
      </c>
      <c r="G401" s="411" t="s">
        <v>515</v>
      </c>
      <c r="H401" s="411" t="s">
        <v>516</v>
      </c>
      <c r="I401" s="412" t="s">
        <v>517</v>
      </c>
      <c r="J401" s="511"/>
      <c r="K401" s="514"/>
      <c r="L401" s="514"/>
      <c r="M401" s="513"/>
      <c r="N401" s="511"/>
      <c r="O401" s="631"/>
      <c r="P401" s="324"/>
    </row>
    <row r="402" spans="1:16">
      <c r="A402" s="323">
        <v>361</v>
      </c>
      <c r="B402" s="354"/>
      <c r="C402" s="632" t="s">
        <v>835</v>
      </c>
      <c r="D402" s="633" t="s">
        <v>836</v>
      </c>
      <c r="E402" s="371">
        <f>E403*1.2</f>
        <v>0</v>
      </c>
      <c r="F402" s="371"/>
      <c r="G402" s="371"/>
      <c r="H402" s="535">
        <f>IF(E402+(F402*E402+G402)=E402,0,G402+F402*E402)</f>
        <v>0</v>
      </c>
      <c r="I402" s="421">
        <f>IF(E402+H402=E402,0,E402+H402)</f>
        <v>0</v>
      </c>
      <c r="K402" s="484"/>
      <c r="L402" s="484"/>
      <c r="M402" s="389"/>
      <c r="N402" s="390"/>
      <c r="O402" s="634"/>
      <c r="P402" s="324"/>
    </row>
    <row r="403" spans="1:16">
      <c r="A403" s="323">
        <v>362</v>
      </c>
      <c r="B403" s="354"/>
      <c r="C403" s="632" t="s">
        <v>837</v>
      </c>
      <c r="D403" s="633" t="s">
        <v>838</v>
      </c>
      <c r="E403" s="371">
        <f>J45</f>
        <v>0</v>
      </c>
      <c r="F403" s="534"/>
      <c r="G403" s="371"/>
      <c r="H403" s="535">
        <f t="shared" ref="H403:H420" si="62">IF(E403+(F403*E403+G403)=E403,0,G403+F403*E403)</f>
        <v>0</v>
      </c>
      <c r="I403" s="421">
        <f t="shared" ref="I403:I420" si="63">IF(E403+H403=E403,0,E403+H403)</f>
        <v>0</v>
      </c>
      <c r="K403" s="484"/>
      <c r="L403" s="484"/>
      <c r="M403" s="389"/>
      <c r="N403" s="390"/>
      <c r="O403" s="634"/>
      <c r="P403" s="324"/>
    </row>
    <row r="404" spans="1:16">
      <c r="A404" s="323">
        <v>363</v>
      </c>
      <c r="B404" s="354"/>
      <c r="C404" s="632" t="s">
        <v>839</v>
      </c>
      <c r="D404" s="633" t="s">
        <v>838</v>
      </c>
      <c r="E404" s="371">
        <f>J46</f>
        <v>0</v>
      </c>
      <c r="F404" s="534"/>
      <c r="G404" s="371"/>
      <c r="H404" s="535">
        <f t="shared" si="62"/>
        <v>0</v>
      </c>
      <c r="I404" s="421">
        <f t="shared" si="63"/>
        <v>0</v>
      </c>
      <c r="K404" s="484"/>
      <c r="L404" s="484"/>
      <c r="M404" s="389"/>
      <c r="N404" s="390"/>
      <c r="O404" s="634"/>
      <c r="P404" s="324"/>
    </row>
    <row r="405" spans="1:16">
      <c r="A405" s="323">
        <v>364</v>
      </c>
      <c r="B405" s="354"/>
      <c r="C405" s="354" t="s">
        <v>840</v>
      </c>
      <c r="D405" s="358">
        <v>0.9</v>
      </c>
      <c r="E405" s="371">
        <f>$J$45*D405</f>
        <v>0</v>
      </c>
      <c r="F405" s="534"/>
      <c r="G405" s="371"/>
      <c r="H405" s="535">
        <f t="shared" si="62"/>
        <v>0</v>
      </c>
      <c r="I405" s="421">
        <f t="shared" si="63"/>
        <v>0</v>
      </c>
      <c r="K405" s="484"/>
      <c r="L405" s="484"/>
      <c r="M405" s="389"/>
      <c r="N405" s="390"/>
      <c r="O405" s="634"/>
      <c r="P405" s="324"/>
    </row>
    <row r="406" spans="1:16">
      <c r="A406" s="323">
        <v>365</v>
      </c>
      <c r="B406" s="354"/>
      <c r="C406" s="354" t="s">
        <v>841</v>
      </c>
      <c r="D406" s="358">
        <v>0.8</v>
      </c>
      <c r="E406" s="371">
        <f t="shared" ref="E406:E420" si="64">$J$45*D406</f>
        <v>0</v>
      </c>
      <c r="F406" s="534"/>
      <c r="G406" s="371"/>
      <c r="H406" s="535">
        <f t="shared" si="62"/>
        <v>0</v>
      </c>
      <c r="I406" s="421">
        <f t="shared" si="63"/>
        <v>0</v>
      </c>
      <c r="K406" s="484"/>
      <c r="L406" s="484"/>
      <c r="M406" s="389"/>
      <c r="N406" s="390"/>
      <c r="O406" s="634"/>
      <c r="P406" s="324"/>
    </row>
    <row r="407" spans="1:16">
      <c r="A407" s="323">
        <v>366</v>
      </c>
      <c r="B407" s="354"/>
      <c r="C407" s="354" t="s">
        <v>842</v>
      </c>
      <c r="D407" s="358">
        <v>0.7</v>
      </c>
      <c r="E407" s="371">
        <f t="shared" si="64"/>
        <v>0</v>
      </c>
      <c r="F407" s="534"/>
      <c r="G407" s="371"/>
      <c r="H407" s="535">
        <f t="shared" si="62"/>
        <v>0</v>
      </c>
      <c r="I407" s="421">
        <f t="shared" si="63"/>
        <v>0</v>
      </c>
      <c r="K407" s="484"/>
      <c r="L407" s="484"/>
      <c r="M407" s="389"/>
      <c r="N407" s="390"/>
      <c r="O407" s="634"/>
      <c r="P407" s="324"/>
    </row>
    <row r="408" spans="1:16">
      <c r="A408" s="323">
        <v>367</v>
      </c>
      <c r="B408" s="354"/>
      <c r="C408" s="354" t="s">
        <v>843</v>
      </c>
      <c r="D408" s="358">
        <v>0.6</v>
      </c>
      <c r="E408" s="371">
        <f t="shared" si="64"/>
        <v>0</v>
      </c>
      <c r="F408" s="534"/>
      <c r="G408" s="371"/>
      <c r="H408" s="535">
        <f t="shared" si="62"/>
        <v>0</v>
      </c>
      <c r="I408" s="421">
        <f t="shared" si="63"/>
        <v>0</v>
      </c>
      <c r="K408" s="484"/>
      <c r="L408" s="484"/>
      <c r="M408" s="389"/>
      <c r="N408" s="390"/>
      <c r="O408" s="634"/>
      <c r="P408" s="324"/>
    </row>
    <row r="409" spans="1:16">
      <c r="A409" s="323">
        <v>368</v>
      </c>
      <c r="B409" s="354"/>
      <c r="C409" s="354" t="s">
        <v>844</v>
      </c>
      <c r="D409" s="358">
        <v>0.8</v>
      </c>
      <c r="E409" s="371">
        <f t="shared" si="64"/>
        <v>0</v>
      </c>
      <c r="F409" s="534"/>
      <c r="G409" s="371"/>
      <c r="H409" s="535">
        <f t="shared" si="62"/>
        <v>0</v>
      </c>
      <c r="I409" s="421">
        <f t="shared" si="63"/>
        <v>0</v>
      </c>
      <c r="K409" s="484"/>
      <c r="L409" s="484"/>
      <c r="M409" s="389"/>
      <c r="N409" s="390"/>
      <c r="O409" s="634"/>
      <c r="P409" s="324"/>
    </row>
    <row r="410" spans="1:16">
      <c r="A410" s="323">
        <v>369</v>
      </c>
      <c r="B410" s="354"/>
      <c r="C410" s="354" t="s">
        <v>845</v>
      </c>
      <c r="D410" s="358">
        <v>0.65</v>
      </c>
      <c r="E410" s="371">
        <f t="shared" si="64"/>
        <v>0</v>
      </c>
      <c r="F410" s="534"/>
      <c r="G410" s="371"/>
      <c r="H410" s="535">
        <f t="shared" si="62"/>
        <v>0</v>
      </c>
      <c r="I410" s="421">
        <f t="shared" si="63"/>
        <v>0</v>
      </c>
      <c r="K410" s="484"/>
      <c r="L410" s="484"/>
      <c r="M410" s="389"/>
      <c r="N410" s="390"/>
      <c r="O410" s="634"/>
      <c r="P410" s="324"/>
    </row>
    <row r="411" spans="1:16">
      <c r="A411" s="323">
        <v>370</v>
      </c>
      <c r="B411" s="354"/>
      <c r="C411" s="354" t="s">
        <v>846</v>
      </c>
      <c r="D411" s="358">
        <v>0.56999999999999995</v>
      </c>
      <c r="E411" s="371">
        <f t="shared" si="64"/>
        <v>0</v>
      </c>
      <c r="F411" s="534"/>
      <c r="G411" s="371"/>
      <c r="H411" s="535">
        <f t="shared" si="62"/>
        <v>0</v>
      </c>
      <c r="I411" s="421">
        <f t="shared" si="63"/>
        <v>0</v>
      </c>
      <c r="K411" s="484"/>
      <c r="L411" s="484"/>
      <c r="M411" s="389"/>
      <c r="N411" s="390"/>
      <c r="O411" s="634"/>
      <c r="P411" s="324"/>
    </row>
    <row r="412" spans="1:16">
      <c r="A412" s="323">
        <v>371</v>
      </c>
      <c r="B412" s="354"/>
      <c r="C412" s="354" t="s">
        <v>847</v>
      </c>
      <c r="D412" s="358">
        <v>0.7</v>
      </c>
      <c r="E412" s="371">
        <f t="shared" si="64"/>
        <v>0</v>
      </c>
      <c r="F412" s="534"/>
      <c r="G412" s="371"/>
      <c r="H412" s="535">
        <f t="shared" si="62"/>
        <v>0</v>
      </c>
      <c r="I412" s="421">
        <f t="shared" si="63"/>
        <v>0</v>
      </c>
      <c r="K412" s="484"/>
      <c r="L412" s="484"/>
      <c r="M412" s="389"/>
      <c r="N412" s="390"/>
      <c r="O412" s="634"/>
      <c r="P412" s="324"/>
    </row>
    <row r="413" spans="1:16">
      <c r="A413" s="323">
        <v>372</v>
      </c>
      <c r="B413" s="354"/>
      <c r="C413" s="354" t="s">
        <v>848</v>
      </c>
      <c r="D413" s="358">
        <v>0.75</v>
      </c>
      <c r="E413" s="371">
        <f t="shared" si="64"/>
        <v>0</v>
      </c>
      <c r="F413" s="534"/>
      <c r="G413" s="371"/>
      <c r="H413" s="535">
        <f t="shared" si="62"/>
        <v>0</v>
      </c>
      <c r="I413" s="421">
        <f t="shared" si="63"/>
        <v>0</v>
      </c>
      <c r="K413" s="484"/>
      <c r="L413" s="484"/>
      <c r="M413" s="389"/>
      <c r="N413" s="390"/>
      <c r="O413" s="634"/>
      <c r="P413" s="324"/>
    </row>
    <row r="414" spans="1:16">
      <c r="A414" s="323">
        <v>373</v>
      </c>
      <c r="B414" s="354"/>
      <c r="C414" s="354" t="s">
        <v>849</v>
      </c>
      <c r="D414" s="358">
        <v>0.5</v>
      </c>
      <c r="E414" s="371">
        <f t="shared" si="64"/>
        <v>0</v>
      </c>
      <c r="F414" s="534"/>
      <c r="G414" s="371"/>
      <c r="H414" s="535">
        <f t="shared" si="62"/>
        <v>0</v>
      </c>
      <c r="I414" s="421">
        <f t="shared" si="63"/>
        <v>0</v>
      </c>
      <c r="K414" s="484"/>
      <c r="L414" s="484"/>
      <c r="M414" s="389"/>
      <c r="N414" s="390"/>
      <c r="O414" s="634"/>
      <c r="P414" s="324"/>
    </row>
    <row r="415" spans="1:16">
      <c r="A415" s="323">
        <v>374</v>
      </c>
      <c r="B415" s="354"/>
      <c r="C415" s="354" t="s">
        <v>850</v>
      </c>
      <c r="D415" s="358">
        <v>0.6</v>
      </c>
      <c r="E415" s="371">
        <f t="shared" si="64"/>
        <v>0</v>
      </c>
      <c r="F415" s="534"/>
      <c r="G415" s="371"/>
      <c r="H415" s="535">
        <f t="shared" si="62"/>
        <v>0</v>
      </c>
      <c r="I415" s="421">
        <f t="shared" si="63"/>
        <v>0</v>
      </c>
      <c r="K415" s="484"/>
      <c r="L415" s="484"/>
      <c r="M415" s="389"/>
      <c r="N415" s="390"/>
      <c r="O415" s="634"/>
      <c r="P415" s="324"/>
    </row>
    <row r="416" spans="1:16">
      <c r="A416" s="323">
        <v>375</v>
      </c>
      <c r="B416" s="354"/>
      <c r="C416" s="354" t="s">
        <v>851</v>
      </c>
      <c r="D416" s="358">
        <v>0.7</v>
      </c>
      <c r="E416" s="371">
        <f t="shared" si="64"/>
        <v>0</v>
      </c>
      <c r="F416" s="534"/>
      <c r="G416" s="371"/>
      <c r="H416" s="535">
        <f t="shared" si="62"/>
        <v>0</v>
      </c>
      <c r="I416" s="421">
        <f t="shared" si="63"/>
        <v>0</v>
      </c>
      <c r="K416" s="484"/>
      <c r="L416" s="484"/>
      <c r="M416" s="389"/>
      <c r="N416" s="390"/>
      <c r="O416" s="634"/>
      <c r="P416" s="324"/>
    </row>
    <row r="417" spans="1:16">
      <c r="A417" s="323">
        <v>376</v>
      </c>
      <c r="B417" s="354"/>
      <c r="C417" s="354" t="s">
        <v>852</v>
      </c>
      <c r="D417" s="358">
        <v>0.75</v>
      </c>
      <c r="E417" s="371">
        <f t="shared" si="64"/>
        <v>0</v>
      </c>
      <c r="F417" s="534"/>
      <c r="G417" s="371"/>
      <c r="H417" s="535">
        <f t="shared" si="62"/>
        <v>0</v>
      </c>
      <c r="I417" s="421">
        <f t="shared" si="63"/>
        <v>0</v>
      </c>
      <c r="K417" s="484"/>
      <c r="L417" s="484"/>
      <c r="M417" s="389"/>
      <c r="N417" s="390"/>
      <c r="O417" s="634"/>
      <c r="P417" s="324"/>
    </row>
    <row r="418" spans="1:16">
      <c r="A418" s="323">
        <v>377</v>
      </c>
      <c r="B418" s="354"/>
      <c r="C418" s="354" t="s">
        <v>853</v>
      </c>
      <c r="D418" s="358">
        <v>0.5</v>
      </c>
      <c r="E418" s="371">
        <f t="shared" si="64"/>
        <v>0</v>
      </c>
      <c r="F418" s="534"/>
      <c r="G418" s="371"/>
      <c r="H418" s="535">
        <f t="shared" si="62"/>
        <v>0</v>
      </c>
      <c r="I418" s="421">
        <f t="shared" si="63"/>
        <v>0</v>
      </c>
      <c r="K418" s="484"/>
      <c r="L418" s="484"/>
      <c r="M418" s="389"/>
      <c r="N418" s="390"/>
      <c r="O418" s="634"/>
      <c r="P418" s="324"/>
    </row>
    <row r="419" spans="1:16">
      <c r="A419" s="323">
        <v>378</v>
      </c>
      <c r="B419" s="354"/>
      <c r="C419" s="354" t="s">
        <v>854</v>
      </c>
      <c r="D419" s="358">
        <v>0.6</v>
      </c>
      <c r="E419" s="371">
        <f t="shared" si="64"/>
        <v>0</v>
      </c>
      <c r="F419" s="534"/>
      <c r="G419" s="371"/>
      <c r="H419" s="535">
        <f t="shared" si="62"/>
        <v>0</v>
      </c>
      <c r="I419" s="421">
        <f t="shared" si="63"/>
        <v>0</v>
      </c>
      <c r="K419" s="484"/>
      <c r="L419" s="484"/>
      <c r="M419" s="389"/>
      <c r="N419" s="390"/>
      <c r="O419" s="634"/>
      <c r="P419" s="324"/>
    </row>
    <row r="420" spans="1:16">
      <c r="A420" s="323">
        <v>379</v>
      </c>
      <c r="B420" s="635"/>
      <c r="C420" s="632" t="s">
        <v>855</v>
      </c>
      <c r="D420" s="633">
        <v>0.7</v>
      </c>
      <c r="E420" s="371">
        <f t="shared" si="64"/>
        <v>0</v>
      </c>
      <c r="F420" s="534"/>
      <c r="G420" s="371"/>
      <c r="H420" s="535">
        <f t="shared" si="62"/>
        <v>0</v>
      </c>
      <c r="I420" s="421">
        <f t="shared" si="63"/>
        <v>0</v>
      </c>
      <c r="J420" s="636"/>
      <c r="K420" s="637"/>
      <c r="L420" s="637"/>
      <c r="M420" s="638"/>
      <c r="N420" s="636"/>
      <c r="O420" s="634"/>
      <c r="P420" s="324"/>
    </row>
    <row r="421" spans="1:16">
      <c r="A421" s="323">
        <v>380</v>
      </c>
      <c r="B421" s="635"/>
      <c r="C421" s="632"/>
      <c r="D421" s="636"/>
      <c r="E421" s="636"/>
      <c r="F421" s="636"/>
      <c r="G421" s="636"/>
      <c r="H421" s="636"/>
      <c r="I421" s="636"/>
      <c r="J421" s="636"/>
      <c r="K421" s="637"/>
      <c r="L421" s="637"/>
      <c r="M421" s="638"/>
      <c r="N421" s="636"/>
      <c r="O421" s="634"/>
      <c r="P421" s="324"/>
    </row>
    <row r="422" spans="1:16">
      <c r="A422" s="323">
        <v>381</v>
      </c>
      <c r="B422" s="630"/>
      <c r="C422" s="630"/>
      <c r="D422" s="566"/>
      <c r="E422" s="566"/>
      <c r="F422" s="566"/>
      <c r="G422" s="566"/>
      <c r="H422" s="566"/>
      <c r="I422" s="566"/>
      <c r="J422" s="566"/>
      <c r="K422" s="566"/>
      <c r="L422" s="639"/>
      <c r="M422" s="640"/>
      <c r="N422" s="566"/>
      <c r="O422" s="631"/>
      <c r="P422" s="324"/>
    </row>
    <row r="423" spans="1:16">
      <c r="A423" s="323">
        <v>382</v>
      </c>
      <c r="B423" s="354"/>
      <c r="C423" s="354"/>
      <c r="E423" s="358"/>
      <c r="F423" s="358"/>
      <c r="G423" s="358"/>
      <c r="H423" s="358"/>
      <c r="I423" s="358"/>
      <c r="J423" s="387"/>
      <c r="K423" s="387"/>
      <c r="L423" s="637"/>
      <c r="M423" s="358"/>
      <c r="O423" s="634"/>
      <c r="P423" s="324"/>
    </row>
    <row r="424" spans="1:16">
      <c r="A424" s="323">
        <v>383</v>
      </c>
      <c r="B424" s="354"/>
      <c r="C424" s="354" t="s">
        <v>856</v>
      </c>
      <c r="D424" s="358">
        <v>1.2</v>
      </c>
      <c r="E424" s="371">
        <f>D424*$J$45</f>
        <v>0</v>
      </c>
      <c r="F424" s="534"/>
      <c r="G424" s="371"/>
      <c r="H424" s="535">
        <f>IF(E424+(F424*E424+G424)=E424,0,G424+F424*E424)</f>
        <v>0</v>
      </c>
      <c r="I424" s="364">
        <f>IF(E424+H424=E424,0,E424+H424)</f>
        <v>0</v>
      </c>
      <c r="J424" s="387"/>
      <c r="K424" s="387"/>
      <c r="L424" s="637"/>
      <c r="M424" s="358"/>
      <c r="O424" s="634"/>
      <c r="P424" s="324"/>
    </row>
    <row r="425" spans="1:16">
      <c r="B425" s="354"/>
      <c r="C425" s="354" t="s">
        <v>857</v>
      </c>
      <c r="D425" s="358">
        <v>1</v>
      </c>
      <c r="E425" s="371">
        <f>D425*$J$45</f>
        <v>0</v>
      </c>
      <c r="F425" s="534"/>
      <c r="G425" s="371"/>
      <c r="H425" s="535"/>
      <c r="I425" s="364">
        <f>IF(E425+H425=E425,0,E425+H425)</f>
        <v>0</v>
      </c>
      <c r="J425" s="387"/>
      <c r="K425" s="387"/>
      <c r="L425" s="637"/>
      <c r="M425" s="358"/>
      <c r="O425" s="634"/>
      <c r="P425" s="324"/>
    </row>
    <row r="426" spans="1:16">
      <c r="A426" s="323">
        <v>384</v>
      </c>
      <c r="B426" s="354"/>
      <c r="C426" s="585" t="s">
        <v>858</v>
      </c>
      <c r="E426" s="358"/>
      <c r="F426" s="358"/>
      <c r="G426" s="358"/>
      <c r="H426" s="358"/>
      <c r="I426" s="358"/>
      <c r="J426" s="387"/>
      <c r="K426" s="387"/>
      <c r="L426" s="637"/>
      <c r="M426" s="638"/>
      <c r="N426" s="636"/>
      <c r="O426" s="634"/>
      <c r="P426" s="324"/>
    </row>
    <row r="427" spans="1:16">
      <c r="A427" s="323">
        <v>385</v>
      </c>
      <c r="B427" s="585">
        <v>1</v>
      </c>
      <c r="C427" s="354" t="s">
        <v>859</v>
      </c>
      <c r="D427" s="358">
        <v>0.9</v>
      </c>
      <c r="E427" s="371">
        <f t="shared" ref="E427:E453" si="65">D427*$J$45</f>
        <v>0</v>
      </c>
      <c r="F427" s="534"/>
      <c r="G427" s="371"/>
      <c r="H427" s="535">
        <f t="shared" ref="H427:H458" si="66">IF(E427+(F427*E427+G427)=E427,0,G427+F427*E427)</f>
        <v>0</v>
      </c>
      <c r="I427" s="364">
        <f t="shared" ref="I427:I458" si="67">IF(E427+H427=E427,0,E427+H427)</f>
        <v>0</v>
      </c>
      <c r="J427" s="387"/>
      <c r="K427" s="387"/>
      <c r="L427" s="637"/>
      <c r="M427" s="638"/>
      <c r="N427" s="636"/>
      <c r="O427" s="634"/>
      <c r="P427" s="324"/>
    </row>
    <row r="428" spans="1:16">
      <c r="A428" s="323">
        <v>386</v>
      </c>
      <c r="B428" s="585">
        <v>2</v>
      </c>
      <c r="C428" s="354" t="s">
        <v>860</v>
      </c>
      <c r="D428" s="358">
        <v>0.8</v>
      </c>
      <c r="E428" s="371">
        <f t="shared" si="65"/>
        <v>0</v>
      </c>
      <c r="F428" s="534"/>
      <c r="G428" s="371"/>
      <c r="H428" s="535">
        <f t="shared" si="66"/>
        <v>0</v>
      </c>
      <c r="I428" s="364">
        <f t="shared" si="67"/>
        <v>0</v>
      </c>
      <c r="J428" s="387"/>
      <c r="K428" s="387"/>
      <c r="L428" s="637"/>
      <c r="M428" s="638"/>
      <c r="N428" s="636"/>
      <c r="O428" s="634"/>
      <c r="P428" s="324"/>
    </row>
    <row r="429" spans="1:16">
      <c r="A429" s="323">
        <v>387</v>
      </c>
      <c r="B429" s="585">
        <v>3</v>
      </c>
      <c r="C429" s="354" t="s">
        <v>861</v>
      </c>
      <c r="D429" s="358">
        <v>0.7</v>
      </c>
      <c r="E429" s="371">
        <f t="shared" si="65"/>
        <v>0</v>
      </c>
      <c r="F429" s="534"/>
      <c r="G429" s="371"/>
      <c r="H429" s="535">
        <f t="shared" si="66"/>
        <v>0</v>
      </c>
      <c r="I429" s="364">
        <f t="shared" si="67"/>
        <v>0</v>
      </c>
      <c r="J429" s="387"/>
      <c r="K429" s="387"/>
      <c r="L429" s="637"/>
      <c r="M429" s="638"/>
      <c r="N429" s="636"/>
      <c r="O429" s="634"/>
      <c r="P429" s="324"/>
    </row>
    <row r="430" spans="1:16">
      <c r="A430" s="323">
        <v>388</v>
      </c>
      <c r="B430" s="585"/>
      <c r="C430" s="585" t="s">
        <v>862</v>
      </c>
      <c r="E430" s="358"/>
      <c r="F430" s="358"/>
      <c r="G430" s="358"/>
      <c r="H430" s="358"/>
      <c r="I430" s="358"/>
      <c r="J430" s="387"/>
      <c r="K430" s="387"/>
      <c r="L430" s="637"/>
      <c r="M430" s="638"/>
      <c r="N430" s="636"/>
      <c r="O430" s="634"/>
      <c r="P430" s="324"/>
    </row>
    <row r="431" spans="1:16">
      <c r="A431" s="323">
        <v>390</v>
      </c>
      <c r="B431" s="585">
        <v>1</v>
      </c>
      <c r="C431" s="354" t="s">
        <v>859</v>
      </c>
      <c r="D431" s="358">
        <v>0.8</v>
      </c>
      <c r="E431" s="371">
        <f t="shared" si="65"/>
        <v>0</v>
      </c>
      <c r="F431" s="534"/>
      <c r="G431" s="371"/>
      <c r="H431" s="535">
        <f t="shared" si="66"/>
        <v>0</v>
      </c>
      <c r="I431" s="364">
        <f t="shared" si="67"/>
        <v>0</v>
      </c>
      <c r="J431" s="387"/>
      <c r="K431" s="387"/>
      <c r="L431" s="637"/>
      <c r="M431" s="638"/>
      <c r="N431" s="636"/>
      <c r="O431" s="634"/>
      <c r="P431" s="324"/>
    </row>
    <row r="432" spans="1:16">
      <c r="A432" s="323">
        <v>391</v>
      </c>
      <c r="B432" s="585">
        <v>2</v>
      </c>
      <c r="C432" s="354" t="s">
        <v>860</v>
      </c>
      <c r="D432" s="358">
        <v>0.75</v>
      </c>
      <c r="E432" s="371">
        <f t="shared" si="65"/>
        <v>0</v>
      </c>
      <c r="F432" s="534"/>
      <c r="G432" s="371"/>
      <c r="H432" s="535">
        <f t="shared" si="66"/>
        <v>0</v>
      </c>
      <c r="I432" s="364">
        <f t="shared" si="67"/>
        <v>0</v>
      </c>
      <c r="J432" s="387"/>
      <c r="K432" s="387"/>
      <c r="L432" s="637"/>
      <c r="M432" s="638"/>
      <c r="N432" s="636"/>
      <c r="O432" s="634"/>
      <c r="P432" s="324"/>
    </row>
    <row r="433" spans="1:16">
      <c r="A433" s="323">
        <v>392</v>
      </c>
      <c r="B433" s="585">
        <v>3</v>
      </c>
      <c r="C433" s="354" t="s">
        <v>861</v>
      </c>
      <c r="D433" s="358">
        <v>0.7</v>
      </c>
      <c r="E433" s="371">
        <f t="shared" si="65"/>
        <v>0</v>
      </c>
      <c r="F433" s="534"/>
      <c r="G433" s="371"/>
      <c r="H433" s="535">
        <f t="shared" si="66"/>
        <v>0</v>
      </c>
      <c r="I433" s="364">
        <f t="shared" si="67"/>
        <v>0</v>
      </c>
      <c r="J433" s="387"/>
      <c r="K433" s="387"/>
      <c r="L433" s="637"/>
      <c r="M433" s="638"/>
      <c r="N433" s="636"/>
      <c r="O433" s="634"/>
      <c r="P433" s="324"/>
    </row>
    <row r="434" spans="1:16">
      <c r="A434" s="323">
        <v>394</v>
      </c>
      <c r="B434" s="585"/>
      <c r="C434" s="585" t="s">
        <v>863</v>
      </c>
      <c r="E434" s="358"/>
      <c r="F434" s="358"/>
      <c r="G434" s="358"/>
      <c r="H434" s="358"/>
      <c r="I434" s="358"/>
      <c r="J434" s="387"/>
      <c r="K434" s="387"/>
      <c r="L434" s="637"/>
      <c r="M434" s="638"/>
      <c r="N434" s="636"/>
      <c r="O434" s="634"/>
      <c r="P434" s="324"/>
    </row>
    <row r="435" spans="1:16">
      <c r="A435" s="323">
        <v>395</v>
      </c>
      <c r="B435" s="585">
        <v>1</v>
      </c>
      <c r="C435" s="354" t="s">
        <v>859</v>
      </c>
      <c r="D435" s="358">
        <v>0.9</v>
      </c>
      <c r="E435" s="371">
        <f t="shared" si="65"/>
        <v>0</v>
      </c>
      <c r="F435" s="534"/>
      <c r="G435" s="371"/>
      <c r="H435" s="535">
        <f t="shared" si="66"/>
        <v>0</v>
      </c>
      <c r="I435" s="364">
        <f t="shared" si="67"/>
        <v>0</v>
      </c>
      <c r="J435" s="387"/>
      <c r="K435" s="387"/>
      <c r="L435" s="637"/>
      <c r="M435" s="638"/>
      <c r="N435" s="636"/>
      <c r="O435" s="634"/>
      <c r="P435" s="324"/>
    </row>
    <row r="436" spans="1:16">
      <c r="A436" s="323">
        <v>396</v>
      </c>
      <c r="B436" s="585">
        <v>2</v>
      </c>
      <c r="C436" s="354" t="s">
        <v>860</v>
      </c>
      <c r="D436" s="358">
        <v>0.8</v>
      </c>
      <c r="E436" s="371">
        <f t="shared" si="65"/>
        <v>0</v>
      </c>
      <c r="F436" s="534"/>
      <c r="G436" s="371"/>
      <c r="H436" s="535">
        <f t="shared" si="66"/>
        <v>0</v>
      </c>
      <c r="I436" s="364">
        <f t="shared" si="67"/>
        <v>0</v>
      </c>
      <c r="J436" s="387"/>
      <c r="K436" s="387"/>
      <c r="L436" s="637"/>
      <c r="M436" s="638"/>
      <c r="N436" s="636"/>
      <c r="O436" s="634"/>
      <c r="P436" s="324"/>
    </row>
    <row r="437" spans="1:16">
      <c r="A437" s="323">
        <v>397</v>
      </c>
      <c r="B437" s="585">
        <v>3</v>
      </c>
      <c r="C437" s="354" t="s">
        <v>861</v>
      </c>
      <c r="D437" s="358">
        <v>0.7</v>
      </c>
      <c r="E437" s="371">
        <f t="shared" si="65"/>
        <v>0</v>
      </c>
      <c r="F437" s="534"/>
      <c r="G437" s="371"/>
      <c r="H437" s="535">
        <f t="shared" si="66"/>
        <v>0</v>
      </c>
      <c r="I437" s="364">
        <f t="shared" si="67"/>
        <v>0</v>
      </c>
      <c r="J437" s="387"/>
      <c r="K437" s="387"/>
      <c r="L437" s="637"/>
      <c r="M437" s="638"/>
      <c r="N437" s="636"/>
      <c r="O437" s="634"/>
      <c r="P437" s="324"/>
    </row>
    <row r="438" spans="1:16">
      <c r="A438" s="323">
        <v>399</v>
      </c>
      <c r="B438" s="585"/>
      <c r="C438" s="585" t="s">
        <v>864</v>
      </c>
      <c r="E438" s="358"/>
      <c r="F438" s="358"/>
      <c r="G438" s="358"/>
      <c r="H438" s="358"/>
      <c r="I438" s="358"/>
      <c r="J438" s="358"/>
      <c r="K438" s="387"/>
      <c r="L438" s="637"/>
      <c r="M438" s="638"/>
      <c r="N438" s="636"/>
      <c r="O438" s="634"/>
      <c r="P438" s="324"/>
    </row>
    <row r="439" spans="1:16">
      <c r="A439" s="323">
        <v>400</v>
      </c>
      <c r="B439" s="585">
        <v>1</v>
      </c>
      <c r="C439" s="354" t="s">
        <v>865</v>
      </c>
      <c r="D439" s="358">
        <v>0.7</v>
      </c>
      <c r="E439" s="371">
        <f t="shared" si="65"/>
        <v>0</v>
      </c>
      <c r="F439" s="534"/>
      <c r="G439" s="371"/>
      <c r="H439" s="535">
        <f t="shared" si="66"/>
        <v>0</v>
      </c>
      <c r="I439" s="364">
        <f t="shared" si="67"/>
        <v>0</v>
      </c>
      <c r="J439" s="387"/>
      <c r="K439" s="387"/>
      <c r="L439" s="637"/>
      <c r="M439" s="638"/>
      <c r="N439" s="636"/>
      <c r="O439" s="634"/>
      <c r="P439" s="324"/>
    </row>
    <row r="440" spans="1:16">
      <c r="A440" s="323">
        <v>401</v>
      </c>
      <c r="B440" s="585">
        <v>2</v>
      </c>
      <c r="C440" s="354" t="s">
        <v>860</v>
      </c>
      <c r="D440" s="358">
        <v>0.65</v>
      </c>
      <c r="E440" s="371">
        <f t="shared" si="65"/>
        <v>0</v>
      </c>
      <c r="F440" s="534"/>
      <c r="G440" s="371"/>
      <c r="H440" s="535">
        <f t="shared" si="66"/>
        <v>0</v>
      </c>
      <c r="I440" s="364">
        <f t="shared" si="67"/>
        <v>0</v>
      </c>
      <c r="J440" s="387"/>
      <c r="K440" s="387"/>
      <c r="L440" s="637"/>
      <c r="M440" s="638"/>
      <c r="N440" s="636"/>
      <c r="O440" s="634"/>
      <c r="P440" s="324"/>
    </row>
    <row r="441" spans="1:16">
      <c r="A441" s="323">
        <v>402</v>
      </c>
      <c r="B441" s="585">
        <v>3</v>
      </c>
      <c r="C441" s="354" t="s">
        <v>866</v>
      </c>
      <c r="D441" s="358">
        <v>0.5</v>
      </c>
      <c r="E441" s="371">
        <f t="shared" si="65"/>
        <v>0</v>
      </c>
      <c r="F441" s="534"/>
      <c r="G441" s="371"/>
      <c r="H441" s="535">
        <f t="shared" si="66"/>
        <v>0</v>
      </c>
      <c r="I441" s="364">
        <f t="shared" si="67"/>
        <v>0</v>
      </c>
      <c r="J441" s="387"/>
      <c r="K441" s="387"/>
      <c r="L441" s="637"/>
      <c r="M441" s="638"/>
      <c r="N441" s="636"/>
      <c r="O441" s="634"/>
      <c r="P441" s="323"/>
    </row>
    <row r="442" spans="1:16">
      <c r="A442" s="323">
        <v>404</v>
      </c>
      <c r="B442" s="585"/>
      <c r="C442" s="585" t="s">
        <v>867</v>
      </c>
      <c r="E442" s="358"/>
      <c r="F442" s="358"/>
      <c r="G442" s="358"/>
      <c r="H442" s="358"/>
      <c r="I442" s="358"/>
      <c r="J442" s="358"/>
      <c r="K442" s="358"/>
      <c r="L442" s="637"/>
      <c r="M442" s="638"/>
      <c r="N442" s="636"/>
      <c r="O442" s="634"/>
      <c r="P442" s="323"/>
    </row>
    <row r="443" spans="1:16">
      <c r="A443" s="323">
        <v>405</v>
      </c>
      <c r="B443" s="585">
        <v>1</v>
      </c>
      <c r="C443" s="354" t="s">
        <v>868</v>
      </c>
      <c r="D443" s="358">
        <v>0.6</v>
      </c>
      <c r="E443" s="371">
        <f t="shared" si="65"/>
        <v>0</v>
      </c>
      <c r="F443" s="534"/>
      <c r="G443" s="371"/>
      <c r="H443" s="535">
        <f t="shared" si="66"/>
        <v>0</v>
      </c>
      <c r="I443" s="364">
        <f t="shared" si="67"/>
        <v>0</v>
      </c>
      <c r="J443" s="358"/>
      <c r="K443" s="358"/>
      <c r="L443" s="637"/>
      <c r="M443" s="638"/>
      <c r="N443" s="636"/>
      <c r="O443" s="634"/>
      <c r="P443" s="323"/>
    </row>
    <row r="444" spans="1:16">
      <c r="A444" s="323">
        <v>406</v>
      </c>
      <c r="B444" s="585">
        <v>2</v>
      </c>
      <c r="C444" s="354" t="s">
        <v>860</v>
      </c>
      <c r="D444" s="358">
        <v>0.56999999999999995</v>
      </c>
      <c r="E444" s="371">
        <f t="shared" si="65"/>
        <v>0</v>
      </c>
      <c r="F444" s="534"/>
      <c r="G444" s="371"/>
      <c r="H444" s="535">
        <f t="shared" si="66"/>
        <v>0</v>
      </c>
      <c r="I444" s="364">
        <f t="shared" si="67"/>
        <v>0</v>
      </c>
      <c r="J444" s="358"/>
      <c r="K444" s="358"/>
      <c r="L444" s="637"/>
      <c r="M444" s="638"/>
      <c r="N444" s="636"/>
      <c r="O444" s="634"/>
      <c r="P444" s="323"/>
    </row>
    <row r="445" spans="1:16">
      <c r="A445" s="323">
        <v>407</v>
      </c>
      <c r="B445" s="585">
        <v>3</v>
      </c>
      <c r="C445" s="354" t="s">
        <v>866</v>
      </c>
      <c r="D445" s="358">
        <v>0.5</v>
      </c>
      <c r="E445" s="371">
        <f t="shared" si="65"/>
        <v>0</v>
      </c>
      <c r="F445" s="534"/>
      <c r="G445" s="371"/>
      <c r="H445" s="535">
        <f t="shared" si="66"/>
        <v>0</v>
      </c>
      <c r="I445" s="364">
        <f t="shared" si="67"/>
        <v>0</v>
      </c>
      <c r="J445" s="358"/>
      <c r="K445" s="358"/>
      <c r="L445" s="637"/>
      <c r="M445" s="638"/>
      <c r="N445" s="636"/>
      <c r="O445" s="634"/>
      <c r="P445" s="323"/>
    </row>
    <row r="446" spans="1:16">
      <c r="A446" s="323">
        <v>409</v>
      </c>
      <c r="B446" s="585"/>
      <c r="C446" s="585" t="s">
        <v>869</v>
      </c>
      <c r="E446" s="358"/>
      <c r="F446" s="358"/>
      <c r="G446" s="358"/>
      <c r="H446" s="358"/>
      <c r="I446" s="358"/>
      <c r="J446" s="358"/>
      <c r="K446" s="358"/>
      <c r="L446" s="637"/>
      <c r="M446" s="638"/>
      <c r="N446" s="636"/>
      <c r="O446" s="634"/>
      <c r="P446" s="323"/>
    </row>
    <row r="447" spans="1:16">
      <c r="A447" s="323">
        <v>410</v>
      </c>
      <c r="B447" s="585">
        <v>1</v>
      </c>
      <c r="C447" s="354" t="s">
        <v>870</v>
      </c>
      <c r="D447" s="358">
        <v>0.9</v>
      </c>
      <c r="E447" s="371">
        <f t="shared" si="65"/>
        <v>0</v>
      </c>
      <c r="F447" s="534"/>
      <c r="G447" s="371"/>
      <c r="H447" s="535">
        <f t="shared" si="66"/>
        <v>0</v>
      </c>
      <c r="I447" s="364">
        <f t="shared" si="67"/>
        <v>0</v>
      </c>
      <c r="J447" s="358"/>
      <c r="K447" s="358"/>
      <c r="L447" s="637"/>
      <c r="M447" s="638"/>
      <c r="N447" s="636"/>
      <c r="O447" s="634"/>
      <c r="P447" s="323"/>
    </row>
    <row r="448" spans="1:16">
      <c r="A448" s="323">
        <v>411</v>
      </c>
      <c r="B448" s="585">
        <v>2</v>
      </c>
      <c r="C448" s="354" t="s">
        <v>860</v>
      </c>
      <c r="D448" s="358">
        <v>0.8</v>
      </c>
      <c r="E448" s="371">
        <f t="shared" si="65"/>
        <v>0</v>
      </c>
      <c r="F448" s="534"/>
      <c r="G448" s="371"/>
      <c r="H448" s="535">
        <f t="shared" si="66"/>
        <v>0</v>
      </c>
      <c r="I448" s="364">
        <f t="shared" si="67"/>
        <v>0</v>
      </c>
      <c r="J448" s="358"/>
      <c r="K448" s="358"/>
      <c r="L448" s="637"/>
      <c r="M448" s="638"/>
      <c r="N448" s="636"/>
      <c r="O448" s="634"/>
      <c r="P448" s="323"/>
    </row>
    <row r="449" spans="1:17">
      <c r="A449" s="323">
        <v>412</v>
      </c>
      <c r="B449" s="585">
        <v>3</v>
      </c>
      <c r="C449" s="354" t="s">
        <v>871</v>
      </c>
      <c r="D449" s="358">
        <v>0.75</v>
      </c>
      <c r="E449" s="371">
        <f t="shared" si="65"/>
        <v>0</v>
      </c>
      <c r="F449" s="534"/>
      <c r="G449" s="371"/>
      <c r="H449" s="535">
        <f t="shared" si="66"/>
        <v>0</v>
      </c>
      <c r="I449" s="364">
        <f t="shared" si="67"/>
        <v>0</v>
      </c>
      <c r="J449" s="358"/>
      <c r="K449" s="358"/>
      <c r="L449" s="637"/>
      <c r="M449" s="638"/>
      <c r="N449" s="636"/>
      <c r="O449" s="634"/>
      <c r="P449" s="323"/>
    </row>
    <row r="450" spans="1:17">
      <c r="A450" s="323">
        <v>414</v>
      </c>
      <c r="B450" s="585"/>
      <c r="C450" s="585" t="s">
        <v>872</v>
      </c>
      <c r="E450" s="358"/>
      <c r="F450" s="358"/>
      <c r="G450" s="358"/>
      <c r="H450" s="358"/>
      <c r="I450" s="358"/>
      <c r="J450" s="358"/>
      <c r="K450" s="358"/>
      <c r="L450" s="637"/>
      <c r="M450" s="638"/>
      <c r="N450" s="636"/>
      <c r="O450" s="634"/>
      <c r="P450" s="323"/>
    </row>
    <row r="451" spans="1:17">
      <c r="A451" s="323">
        <v>415</v>
      </c>
      <c r="B451" s="585">
        <v>1</v>
      </c>
      <c r="C451" s="354" t="s">
        <v>873</v>
      </c>
      <c r="D451" s="358">
        <v>0.7</v>
      </c>
      <c r="E451" s="371">
        <f t="shared" si="65"/>
        <v>0</v>
      </c>
      <c r="F451" s="534"/>
      <c r="G451" s="371"/>
      <c r="H451" s="535">
        <f t="shared" si="66"/>
        <v>0</v>
      </c>
      <c r="I451" s="364">
        <f t="shared" si="67"/>
        <v>0</v>
      </c>
      <c r="J451" s="358"/>
      <c r="K451" s="358"/>
      <c r="L451" s="637"/>
      <c r="M451" s="638"/>
      <c r="N451" s="636"/>
      <c r="O451" s="634"/>
      <c r="P451" s="323"/>
    </row>
    <row r="452" spans="1:17">
      <c r="A452" s="323">
        <v>416</v>
      </c>
      <c r="B452" s="585">
        <v>2</v>
      </c>
      <c r="C452" s="354" t="s">
        <v>860</v>
      </c>
      <c r="D452" s="358">
        <v>0.65</v>
      </c>
      <c r="E452" s="371">
        <f t="shared" si="65"/>
        <v>0</v>
      </c>
      <c r="F452" s="534"/>
      <c r="G452" s="371"/>
      <c r="H452" s="535">
        <f t="shared" si="66"/>
        <v>0</v>
      </c>
      <c r="I452" s="364">
        <f t="shared" si="67"/>
        <v>0</v>
      </c>
      <c r="J452" s="358"/>
      <c r="K452" s="358"/>
      <c r="L452" s="637"/>
      <c r="M452" s="638"/>
      <c r="N452" s="636"/>
      <c r="O452" s="634"/>
      <c r="P452" s="323"/>
    </row>
    <row r="453" spans="1:17">
      <c r="A453" s="323">
        <v>417</v>
      </c>
      <c r="B453" s="585">
        <v>3</v>
      </c>
      <c r="C453" s="354" t="s">
        <v>874</v>
      </c>
      <c r="D453" s="358">
        <v>0.6</v>
      </c>
      <c r="E453" s="371">
        <f t="shared" si="65"/>
        <v>0</v>
      </c>
      <c r="F453" s="534"/>
      <c r="G453" s="371"/>
      <c r="H453" s="535">
        <f t="shared" si="66"/>
        <v>0</v>
      </c>
      <c r="I453" s="364">
        <f t="shared" si="67"/>
        <v>0</v>
      </c>
      <c r="J453" s="358"/>
      <c r="K453" s="358"/>
      <c r="L453" s="637"/>
      <c r="M453" s="638"/>
      <c r="N453" s="636"/>
      <c r="O453" s="634"/>
      <c r="P453" s="323"/>
    </row>
    <row r="454" spans="1:17">
      <c r="A454" s="323">
        <v>419</v>
      </c>
      <c r="B454" s="585"/>
      <c r="C454" s="585" t="s">
        <v>875</v>
      </c>
      <c r="E454" s="358"/>
      <c r="F454" s="358"/>
      <c r="G454" s="358"/>
      <c r="H454" s="358"/>
      <c r="I454" s="358"/>
      <c r="J454" s="358"/>
      <c r="K454" s="358"/>
      <c r="L454" s="637"/>
      <c r="M454" s="638"/>
      <c r="N454" s="636"/>
      <c r="O454" s="634"/>
      <c r="P454" s="323"/>
    </row>
    <row r="455" spans="1:17">
      <c r="A455" s="323">
        <v>420</v>
      </c>
      <c r="B455" s="585">
        <v>1</v>
      </c>
      <c r="C455" s="354" t="s">
        <v>876</v>
      </c>
      <c r="E455" s="358"/>
      <c r="F455" s="358"/>
      <c r="G455" s="358"/>
      <c r="H455" s="358"/>
      <c r="I455" s="358"/>
      <c r="J455" s="358"/>
      <c r="K455" s="358"/>
      <c r="L455" s="637"/>
      <c r="M455" s="638"/>
      <c r="N455" s="636"/>
      <c r="O455" s="634"/>
      <c r="P455" s="323"/>
    </row>
    <row r="456" spans="1:17" ht="12.75">
      <c r="A456" s="323">
        <v>421</v>
      </c>
      <c r="B456" s="585"/>
      <c r="C456" s="354" t="s">
        <v>877</v>
      </c>
      <c r="D456" s="358">
        <v>1.2</v>
      </c>
      <c r="E456" s="371">
        <f>D456*J456</f>
        <v>68544</v>
      </c>
      <c r="F456" s="534"/>
      <c r="G456" s="371"/>
      <c r="H456" s="535">
        <f t="shared" si="66"/>
        <v>0</v>
      </c>
      <c r="I456" s="364">
        <f t="shared" si="67"/>
        <v>0</v>
      </c>
      <c r="J456" s="641">
        <v>57120</v>
      </c>
      <c r="K456" s="358"/>
      <c r="L456" s="637"/>
      <c r="M456" s="638"/>
      <c r="N456" s="636"/>
      <c r="O456" s="634"/>
      <c r="P456" s="323"/>
    </row>
    <row r="457" spans="1:17" ht="12.75">
      <c r="A457" s="323">
        <v>422</v>
      </c>
      <c r="B457" s="585">
        <v>2</v>
      </c>
      <c r="C457" s="354" t="s">
        <v>878</v>
      </c>
      <c r="E457" s="371">
        <f>D457*J457</f>
        <v>0</v>
      </c>
      <c r="F457" s="534"/>
      <c r="G457" s="371"/>
      <c r="H457" s="535">
        <f t="shared" si="66"/>
        <v>0</v>
      </c>
      <c r="I457" s="364">
        <f t="shared" si="67"/>
        <v>0</v>
      </c>
      <c r="J457" s="641"/>
      <c r="K457" s="358"/>
      <c r="L457" s="637"/>
      <c r="M457" s="638"/>
      <c r="N457" s="636"/>
      <c r="O457" s="634"/>
      <c r="P457" s="323"/>
    </row>
    <row r="458" spans="1:17" ht="13.5" thickBot="1">
      <c r="A458" s="323">
        <v>423</v>
      </c>
      <c r="B458" s="585"/>
      <c r="C458" s="354" t="s">
        <v>879</v>
      </c>
      <c r="D458" s="358">
        <v>0.7</v>
      </c>
      <c r="E458" s="371">
        <f>D458*J458</f>
        <v>57197</v>
      </c>
      <c r="F458" s="534"/>
      <c r="G458" s="371"/>
      <c r="H458" s="535">
        <f t="shared" si="66"/>
        <v>0</v>
      </c>
      <c r="I458" s="364">
        <f t="shared" si="67"/>
        <v>0</v>
      </c>
      <c r="J458" s="642">
        <v>81710</v>
      </c>
      <c r="K458" s="358"/>
      <c r="L458" s="637"/>
      <c r="M458" s="638"/>
      <c r="N458" s="636"/>
      <c r="O458" s="634"/>
      <c r="P458" s="323"/>
    </row>
    <row r="459" spans="1:17">
      <c r="A459" s="323">
        <v>424</v>
      </c>
      <c r="B459" s="635"/>
      <c r="C459" s="632"/>
      <c r="D459" s="633"/>
      <c r="E459" s="633"/>
      <c r="F459" s="633"/>
      <c r="G459" s="633"/>
      <c r="H459" s="633"/>
      <c r="I459" s="633"/>
      <c r="J459" s="633"/>
      <c r="K459" s="637"/>
      <c r="L459" s="637"/>
      <c r="M459" s="638"/>
      <c r="N459" s="636"/>
      <c r="O459" s="634"/>
      <c r="P459" s="323"/>
    </row>
    <row r="460" spans="1:17" s="1058" customFormat="1" ht="21.75" customHeight="1">
      <c r="A460" s="323">
        <v>425</v>
      </c>
      <c r="B460" s="643"/>
      <c r="C460" s="644" t="s">
        <v>880</v>
      </c>
      <c r="D460" s="645"/>
      <c r="E460" s="646"/>
      <c r="F460" s="646"/>
      <c r="G460" s="646"/>
      <c r="H460" s="646"/>
      <c r="I460" s="646"/>
      <c r="J460" s="646"/>
      <c r="K460" s="647"/>
      <c r="L460" s="647"/>
      <c r="M460" s="501"/>
      <c r="N460" s="648"/>
      <c r="O460" s="649"/>
      <c r="P460" s="323"/>
      <c r="Q460" s="584"/>
    </row>
    <row r="461" spans="1:17" ht="12.75" customHeight="1">
      <c r="A461" s="323">
        <v>426</v>
      </c>
      <c r="B461" s="650">
        <v>1</v>
      </c>
      <c r="C461" s="632" t="s">
        <v>881</v>
      </c>
      <c r="D461" s="633"/>
      <c r="E461" s="371">
        <v>65050</v>
      </c>
      <c r="F461" s="534"/>
      <c r="G461" s="371"/>
      <c r="H461" s="535">
        <f>IF(E461+(F461*E461+G461)=E461,0,G461+F461*E461)</f>
        <v>0</v>
      </c>
      <c r="I461" s="421">
        <f>IF(E461+H461=E461,0,E461+H461)</f>
        <v>0</v>
      </c>
      <c r="J461" s="636"/>
      <c r="K461" s="637"/>
      <c r="L461" s="637"/>
      <c r="M461" s="638"/>
      <c r="N461" s="636"/>
      <c r="O461" s="634"/>
      <c r="P461" s="323"/>
    </row>
    <row r="462" spans="1:17">
      <c r="A462" s="323">
        <v>427</v>
      </c>
      <c r="B462" s="650">
        <v>2</v>
      </c>
      <c r="C462" s="651" t="s">
        <v>882</v>
      </c>
      <c r="D462" s="633"/>
      <c r="E462" s="371">
        <v>59050</v>
      </c>
      <c r="F462" s="534"/>
      <c r="G462" s="371"/>
      <c r="H462" s="535">
        <f>IF(E462+(F462*E462+G462)=E462,0,G462+F462*E462)</f>
        <v>0</v>
      </c>
      <c r="I462" s="421">
        <f>IF(E462+H462=E462,0,E462+H462)</f>
        <v>0</v>
      </c>
      <c r="J462" s="636"/>
      <c r="K462" s="637"/>
      <c r="L462" s="637"/>
      <c r="M462" s="638"/>
      <c r="N462" s="636"/>
      <c r="O462" s="634"/>
      <c r="P462" s="323"/>
    </row>
    <row r="463" spans="1:17">
      <c r="A463" s="323">
        <v>428</v>
      </c>
      <c r="B463" s="650">
        <v>3</v>
      </c>
      <c r="C463" s="632" t="s">
        <v>883</v>
      </c>
      <c r="D463" s="633"/>
      <c r="E463" s="371">
        <v>47500</v>
      </c>
      <c r="F463" s="534"/>
      <c r="G463" s="371"/>
      <c r="H463" s="535">
        <f>IF(E463+(F463*E463+G463)=E463,0,G463+F463*E463)</f>
        <v>0</v>
      </c>
      <c r="I463" s="421">
        <f>IF(E463+H463=E463,0,E463+H463)</f>
        <v>0</v>
      </c>
      <c r="J463" s="636"/>
      <c r="K463" s="637"/>
      <c r="L463" s="637"/>
      <c r="M463" s="638"/>
      <c r="N463" s="636"/>
      <c r="O463" s="634"/>
      <c r="P463" s="323"/>
    </row>
    <row r="464" spans="1:17" ht="20.25" customHeight="1">
      <c r="A464" s="323">
        <v>429</v>
      </c>
      <c r="B464" s="650">
        <v>4</v>
      </c>
      <c r="C464" s="651" t="s">
        <v>884</v>
      </c>
      <c r="D464" s="633"/>
      <c r="E464" s="371">
        <v>35900</v>
      </c>
      <c r="F464" s="534"/>
      <c r="G464" s="371"/>
      <c r="H464" s="535">
        <f>IF(E464+(F464*E464+G464)=E464,0,G464+F464*E464)</f>
        <v>0</v>
      </c>
      <c r="I464" s="421">
        <f>IF(E464+H464=E464,0,E464+H464)</f>
        <v>0</v>
      </c>
      <c r="J464" s="636"/>
      <c r="K464" s="637"/>
      <c r="L464" s="637"/>
      <c r="M464" s="638"/>
      <c r="N464" s="636"/>
      <c r="O464" s="634"/>
      <c r="P464" s="323"/>
    </row>
    <row r="465" spans="1:16" ht="28.5" customHeight="1">
      <c r="A465" s="323">
        <v>430</v>
      </c>
      <c r="B465" s="1737" t="s">
        <v>885</v>
      </c>
      <c r="C465" s="1738"/>
      <c r="D465" s="1738"/>
      <c r="E465" s="1738"/>
      <c r="F465" s="1738"/>
      <c r="G465" s="1738"/>
      <c r="H465" s="1738"/>
      <c r="I465" s="1738"/>
      <c r="J465" s="1738"/>
      <c r="K465" s="1738"/>
      <c r="L465" s="1738"/>
      <c r="M465" s="1738"/>
      <c r="N465" s="1738"/>
      <c r="O465" s="1738"/>
      <c r="P465" s="323"/>
    </row>
    <row r="466" spans="1:16" ht="56.25">
      <c r="A466" s="323">
        <v>431</v>
      </c>
      <c r="B466" s="600"/>
      <c r="C466" s="406" t="s">
        <v>886</v>
      </c>
      <c r="D466" s="407"/>
      <c r="E466" s="511"/>
      <c r="F466" s="511"/>
      <c r="G466" s="511"/>
      <c r="H466" s="512"/>
      <c r="I466" s="513"/>
      <c r="J466" s="411" t="s">
        <v>513</v>
      </c>
      <c r="K466" s="411" t="s">
        <v>514</v>
      </c>
      <c r="L466" s="411" t="s">
        <v>515</v>
      </c>
      <c r="M466" s="411" t="s">
        <v>516</v>
      </c>
      <c r="N466" s="412" t="s">
        <v>517</v>
      </c>
      <c r="O466" s="601"/>
      <c r="P466" s="323"/>
    </row>
    <row r="467" spans="1:16" ht="11.25" customHeight="1">
      <c r="A467" s="323">
        <v>432</v>
      </c>
      <c r="B467" s="1739">
        <v>1</v>
      </c>
      <c r="C467" s="1724" t="s">
        <v>887</v>
      </c>
      <c r="D467" s="1701" t="s">
        <v>888</v>
      </c>
      <c r="E467" s="1702"/>
      <c r="F467" s="1702"/>
      <c r="G467" s="1702"/>
      <c r="H467" s="1702"/>
      <c r="I467" s="1703"/>
      <c r="J467" s="558">
        <v>30000</v>
      </c>
      <c r="K467" s="363"/>
      <c r="L467" s="420"/>
      <c r="M467" s="420">
        <f t="shared" ref="M467:M472" si="68">IF(J467+(K467*J467+L467)=J467,0,L467+K467*J467)</f>
        <v>0</v>
      </c>
      <c r="N467" s="421">
        <f t="shared" ref="N467:N472" si="69">IF(J467+M467=J467,0,J467+M467)</f>
        <v>0</v>
      </c>
      <c r="O467" s="1726" t="s">
        <v>889</v>
      </c>
      <c r="P467" s="323"/>
    </row>
    <row r="468" spans="1:16">
      <c r="A468" s="323">
        <v>433</v>
      </c>
      <c r="B468" s="1740"/>
      <c r="C468" s="1725"/>
      <c r="D468" s="1701" t="s">
        <v>890</v>
      </c>
      <c r="E468" s="1702"/>
      <c r="F468" s="1702"/>
      <c r="G468" s="1702"/>
      <c r="H468" s="1702"/>
      <c r="I468" s="1703"/>
      <c r="J468" s="558">
        <v>25000</v>
      </c>
      <c r="K468" s="363"/>
      <c r="L468" s="420"/>
      <c r="M468" s="420">
        <f t="shared" si="68"/>
        <v>0</v>
      </c>
      <c r="N468" s="421">
        <f t="shared" si="69"/>
        <v>0</v>
      </c>
      <c r="O468" s="1727"/>
      <c r="P468" s="323"/>
    </row>
    <row r="469" spans="1:16" ht="22.5" customHeight="1">
      <c r="A469" s="323">
        <v>434</v>
      </c>
      <c r="B469" s="1739">
        <v>2</v>
      </c>
      <c r="C469" s="1724" t="s">
        <v>891</v>
      </c>
      <c r="D469" s="1698" t="s">
        <v>892</v>
      </c>
      <c r="E469" s="1699"/>
      <c r="F469" s="1699"/>
      <c r="G469" s="1699"/>
      <c r="H469" s="1699"/>
      <c r="I469" s="1700"/>
      <c r="J469" s="558">
        <v>20000</v>
      </c>
      <c r="K469" s="363"/>
      <c r="L469" s="420"/>
      <c r="M469" s="420">
        <f t="shared" si="68"/>
        <v>0</v>
      </c>
      <c r="N469" s="421">
        <f t="shared" si="69"/>
        <v>0</v>
      </c>
      <c r="O469" s="1727"/>
      <c r="P469" s="323"/>
    </row>
    <row r="470" spans="1:16" ht="20.25" customHeight="1">
      <c r="A470" s="323">
        <v>435</v>
      </c>
      <c r="B470" s="1740"/>
      <c r="C470" s="1725"/>
      <c r="D470" s="1698" t="s">
        <v>893</v>
      </c>
      <c r="E470" s="1699"/>
      <c r="F470" s="1699"/>
      <c r="G470" s="1699"/>
      <c r="H470" s="1699"/>
      <c r="I470" s="1700"/>
      <c r="J470" s="558">
        <v>25000</v>
      </c>
      <c r="K470" s="363"/>
      <c r="L470" s="420"/>
      <c r="M470" s="420">
        <f t="shared" si="68"/>
        <v>0</v>
      </c>
      <c r="N470" s="421">
        <f t="shared" si="69"/>
        <v>0</v>
      </c>
      <c r="O470" s="1727"/>
      <c r="P470" s="323"/>
    </row>
    <row r="471" spans="1:16" ht="25.5" customHeight="1">
      <c r="A471" s="323">
        <v>436</v>
      </c>
      <c r="B471" s="1739">
        <v>3</v>
      </c>
      <c r="C471" s="1724" t="s">
        <v>894</v>
      </c>
      <c r="D471" s="1698" t="s">
        <v>895</v>
      </c>
      <c r="E471" s="1699"/>
      <c r="F471" s="1699"/>
      <c r="G471" s="1699"/>
      <c r="H471" s="1699"/>
      <c r="I471" s="1700"/>
      <c r="J471" s="558">
        <v>10000</v>
      </c>
      <c r="K471" s="363"/>
      <c r="L471" s="420"/>
      <c r="M471" s="420">
        <f t="shared" si="68"/>
        <v>0</v>
      </c>
      <c r="N471" s="421">
        <f t="shared" si="69"/>
        <v>0</v>
      </c>
      <c r="O471" s="1727"/>
      <c r="P471" s="323"/>
    </row>
    <row r="472" spans="1:16" ht="21" customHeight="1">
      <c r="A472" s="323">
        <v>437</v>
      </c>
      <c r="B472" s="1740"/>
      <c r="C472" s="1725"/>
      <c r="D472" s="1698" t="s">
        <v>896</v>
      </c>
      <c r="E472" s="1699"/>
      <c r="F472" s="1699"/>
      <c r="G472" s="1699"/>
      <c r="H472" s="1699"/>
      <c r="I472" s="1700"/>
      <c r="J472" s="558">
        <v>20000</v>
      </c>
      <c r="K472" s="363"/>
      <c r="L472" s="420"/>
      <c r="M472" s="420">
        <f t="shared" si="68"/>
        <v>0</v>
      </c>
      <c r="N472" s="421">
        <f t="shared" si="69"/>
        <v>0</v>
      </c>
      <c r="O472" s="1727"/>
      <c r="P472" s="323"/>
    </row>
    <row r="473" spans="1:16" ht="21" customHeight="1">
      <c r="A473" s="323">
        <v>438</v>
      </c>
      <c r="B473" s="652"/>
      <c r="C473" s="354"/>
      <c r="D473" s="1746" t="s">
        <v>897</v>
      </c>
      <c r="E473" s="1747"/>
      <c r="F473" s="1747"/>
      <c r="G473" s="1747"/>
      <c r="H473" s="1747"/>
      <c r="I473" s="1748"/>
      <c r="J473" s="558">
        <v>15000</v>
      </c>
      <c r="K473" s="363"/>
      <c r="L473" s="420"/>
      <c r="M473" s="420">
        <f>IF(J473+(K473*J473+L473)=J473,0,L473+K473*J473)</f>
        <v>0</v>
      </c>
      <c r="N473" s="421">
        <f>IF(J473+M473=J473,0,J473+M473)</f>
        <v>0</v>
      </c>
      <c r="O473" s="1727"/>
      <c r="P473" s="323"/>
    </row>
    <row r="474" spans="1:16" ht="25.5" customHeight="1">
      <c r="A474" s="323">
        <v>439</v>
      </c>
      <c r="B474" s="600"/>
      <c r="C474" s="530" t="s">
        <v>898</v>
      </c>
      <c r="D474" s="407"/>
      <c r="E474" s="1749" t="s">
        <v>899</v>
      </c>
      <c r="F474" s="1741" t="s">
        <v>900</v>
      </c>
      <c r="G474" s="1742"/>
      <c r="H474" s="1743" t="s">
        <v>901</v>
      </c>
      <c r="I474" s="1744"/>
      <c r="J474" s="653"/>
      <c r="K474" s="653"/>
      <c r="L474" s="653"/>
      <c r="M474" s="653"/>
      <c r="N474" s="653"/>
      <c r="O474" s="601"/>
      <c r="P474" s="323"/>
    </row>
    <row r="475" spans="1:16" ht="21" customHeight="1">
      <c r="A475" s="323">
        <v>440</v>
      </c>
      <c r="B475" s="600"/>
      <c r="C475" s="530"/>
      <c r="D475" s="407"/>
      <c r="E475" s="1750"/>
      <c r="F475" s="526" t="s">
        <v>902</v>
      </c>
      <c r="G475" s="526" t="s">
        <v>903</v>
      </c>
      <c r="H475" s="411" t="s">
        <v>904</v>
      </c>
      <c r="I475" s="411" t="s">
        <v>905</v>
      </c>
      <c r="J475" s="653"/>
      <c r="K475" s="653"/>
      <c r="L475" s="653"/>
      <c r="M475" s="653"/>
      <c r="N475" s="653"/>
      <c r="O475" s="601"/>
      <c r="P475" s="323"/>
    </row>
    <row r="476" spans="1:16" ht="22.5">
      <c r="A476" s="323">
        <v>441</v>
      </c>
      <c r="B476" s="348"/>
      <c r="C476" s="573" t="s">
        <v>906</v>
      </c>
      <c r="D476" s="358" t="s">
        <v>907</v>
      </c>
      <c r="E476" s="371">
        <f>E117</f>
        <v>0</v>
      </c>
      <c r="F476" s="654">
        <v>0.5</v>
      </c>
      <c r="G476" s="555">
        <f>E476*50%</f>
        <v>0</v>
      </c>
      <c r="H476" s="555">
        <f>F476*H117</f>
        <v>0</v>
      </c>
      <c r="I476" s="555">
        <f>IF(G476+H476=G476,0,G476+H476)</f>
        <v>0</v>
      </c>
      <c r="M476" s="391"/>
      <c r="N476" s="391"/>
      <c r="O476" s="1751" t="s">
        <v>908</v>
      </c>
      <c r="P476" s="323"/>
    </row>
    <row r="477" spans="1:16" ht="22.5">
      <c r="A477" s="323">
        <v>442</v>
      </c>
      <c r="B477" s="348"/>
      <c r="C477" s="573" t="s">
        <v>909</v>
      </c>
      <c r="D477" s="358" t="s">
        <v>910</v>
      </c>
      <c r="E477" s="371">
        <f>E116</f>
        <v>0</v>
      </c>
      <c r="F477" s="654">
        <v>0.4</v>
      </c>
      <c r="G477" s="555">
        <f>E477*40%</f>
        <v>0</v>
      </c>
      <c r="H477" s="555">
        <f>F477*H116</f>
        <v>0</v>
      </c>
      <c r="I477" s="555">
        <f>IF(G477+H477=G477,0,G477+H477)</f>
        <v>0</v>
      </c>
      <c r="M477" s="391"/>
      <c r="N477" s="391"/>
      <c r="O477" s="1752"/>
      <c r="P477" s="323"/>
    </row>
    <row r="478" spans="1:16" ht="22.5">
      <c r="A478" s="323">
        <v>443</v>
      </c>
      <c r="B478" s="655"/>
      <c r="C478" s="656" t="s">
        <v>911</v>
      </c>
      <c r="D478" s="657" t="s">
        <v>912</v>
      </c>
      <c r="E478" s="371">
        <f>E115</f>
        <v>0</v>
      </c>
      <c r="F478" s="658">
        <v>0.3</v>
      </c>
      <c r="G478" s="659">
        <f>E478*30%</f>
        <v>0</v>
      </c>
      <c r="H478" s="555">
        <f>F478*H115</f>
        <v>0</v>
      </c>
      <c r="I478" s="555">
        <f>IF(G478+H478=G478,0,G478+H478)</f>
        <v>0</v>
      </c>
      <c r="M478" s="391"/>
      <c r="N478" s="391"/>
      <c r="O478" s="1753"/>
      <c r="P478" s="323"/>
    </row>
    <row r="479" spans="1:16" ht="22.5" customHeight="1">
      <c r="A479" s="323">
        <v>444</v>
      </c>
      <c r="B479" s="660"/>
      <c r="C479" s="525" t="s">
        <v>913</v>
      </c>
      <c r="D479" s="566"/>
      <c r="E479" s="407" t="s">
        <v>914</v>
      </c>
      <c r="F479" s="407"/>
      <c r="G479" s="407"/>
      <c r="H479" s="500"/>
      <c r="I479" s="513"/>
      <c r="J479" s="511"/>
      <c r="K479" s="639"/>
      <c r="L479" s="639"/>
      <c r="M479" s="640"/>
      <c r="N479" s="566"/>
      <c r="O479" s="661"/>
      <c r="P479" s="323"/>
    </row>
    <row r="480" spans="1:16">
      <c r="A480" s="323">
        <v>445</v>
      </c>
      <c r="B480" s="662">
        <v>1</v>
      </c>
      <c r="C480" s="573" t="s">
        <v>915</v>
      </c>
      <c r="D480" s="663"/>
      <c r="E480" s="664">
        <v>0.05</v>
      </c>
      <c r="F480" s="1754" t="s">
        <v>916</v>
      </c>
      <c r="G480" s="1755"/>
      <c r="H480" s="1755"/>
      <c r="I480" s="1755"/>
      <c r="J480" s="1755"/>
      <c r="K480" s="1755"/>
      <c r="L480" s="1755"/>
      <c r="M480" s="1756"/>
      <c r="P480" s="323"/>
    </row>
    <row r="481" spans="1:16">
      <c r="A481" s="323">
        <v>446</v>
      </c>
      <c r="B481" s="662">
        <v>2</v>
      </c>
      <c r="C481" s="573" t="s">
        <v>917</v>
      </c>
      <c r="D481" s="663"/>
      <c r="E481" s="664" t="s">
        <v>918</v>
      </c>
      <c r="F481" s="387" t="s">
        <v>210</v>
      </c>
      <c r="P481" s="323"/>
    </row>
    <row r="482" spans="1:16">
      <c r="A482" s="323">
        <v>447</v>
      </c>
      <c r="B482" s="662">
        <v>3</v>
      </c>
      <c r="C482" s="573" t="s">
        <v>923</v>
      </c>
      <c r="D482" s="663"/>
      <c r="E482" s="664" t="s">
        <v>924</v>
      </c>
      <c r="P482" s="323"/>
    </row>
    <row r="483" spans="1:16">
      <c r="A483" s="323">
        <v>448</v>
      </c>
      <c r="B483" s="662">
        <v>4</v>
      </c>
      <c r="C483" s="573" t="s">
        <v>925</v>
      </c>
      <c r="D483" s="663"/>
      <c r="E483" s="664" t="s">
        <v>926</v>
      </c>
      <c r="P483" s="323"/>
    </row>
    <row r="484" spans="1:16">
      <c r="A484" s="323">
        <v>449</v>
      </c>
      <c r="P484" s="323"/>
    </row>
    <row r="485" spans="1:16">
      <c r="A485" s="323">
        <v>450</v>
      </c>
      <c r="B485" s="660"/>
      <c r="C485" s="666" t="s">
        <v>927</v>
      </c>
      <c r="D485" s="667"/>
      <c r="E485" s="667"/>
      <c r="F485" s="667"/>
      <c r="G485" s="667"/>
      <c r="H485" s="667"/>
      <c r="I485" s="667"/>
      <c r="J485" s="667"/>
      <c r="K485" s="667"/>
      <c r="L485" s="667"/>
      <c r="M485" s="667"/>
      <c r="N485" s="667"/>
      <c r="O485" s="666"/>
      <c r="P485" s="323"/>
    </row>
    <row r="486" spans="1:16">
      <c r="A486" s="323">
        <v>451</v>
      </c>
      <c r="C486" s="573" t="s">
        <v>928</v>
      </c>
      <c r="E486" s="668" t="s">
        <v>929</v>
      </c>
      <c r="P486" s="323"/>
    </row>
    <row r="487" spans="1:16">
      <c r="A487" s="323">
        <v>452</v>
      </c>
      <c r="C487" s="573" t="s">
        <v>28</v>
      </c>
      <c r="E487" s="668" t="s">
        <v>29</v>
      </c>
      <c r="P487" s="323"/>
    </row>
    <row r="488" spans="1:16">
      <c r="A488" s="323">
        <v>453</v>
      </c>
      <c r="P488" s="323"/>
    </row>
    <row r="489" spans="1:16">
      <c r="A489" s="323">
        <v>454</v>
      </c>
      <c r="C489" s="669" t="s">
        <v>30</v>
      </c>
      <c r="D489" s="646"/>
      <c r="E489" s="511"/>
      <c r="F489" s="511"/>
      <c r="G489" s="511"/>
      <c r="H489" s="511">
        <f>SUM(H571:H575)</f>
        <v>0</v>
      </c>
      <c r="I489" s="511"/>
      <c r="J489" s="511"/>
      <c r="K489" s="511">
        <f>SUM(K490:K575)</f>
        <v>0</v>
      </c>
      <c r="L489" s="511"/>
      <c r="P489" s="323"/>
    </row>
    <row r="490" spans="1:16">
      <c r="A490" s="323">
        <v>455</v>
      </c>
      <c r="C490" s="517" t="s">
        <v>31</v>
      </c>
      <c r="D490" s="463" t="s">
        <v>32</v>
      </c>
      <c r="E490" s="390">
        <v>145640</v>
      </c>
      <c r="F490" s="534"/>
      <c r="G490" s="371"/>
      <c r="H490" s="535">
        <f>IF(E490+(F490*E490+G490)=E490,0,G490+F490*E490)</f>
        <v>0</v>
      </c>
      <c r="I490" s="421">
        <f>IF(E490+H490=E490,0,E490+H490)</f>
        <v>0</v>
      </c>
      <c r="J490" s="369"/>
      <c r="K490" s="369"/>
      <c r="L490" s="369"/>
      <c r="M490" s="369"/>
      <c r="N490" s="369"/>
      <c r="O490" s="338"/>
      <c r="P490" s="323"/>
    </row>
    <row r="491" spans="1:16">
      <c r="A491" s="323">
        <v>456</v>
      </c>
      <c r="B491" s="670"/>
      <c r="C491" s="1731" t="s">
        <v>33</v>
      </c>
      <c r="D491" s="463" t="s">
        <v>34</v>
      </c>
      <c r="E491" s="390">
        <v>139460</v>
      </c>
      <c r="F491" s="534"/>
      <c r="G491" s="371"/>
      <c r="H491" s="535">
        <f t="shared" ref="H491:H554" si="70">IF(E491+(F491*E491+G491)=E491,0,G491+F491*E491)</f>
        <v>0</v>
      </c>
      <c r="I491" s="421">
        <f t="shared" ref="I491:I554" si="71">IF(E491+H491=E491,0,E491+H491)</f>
        <v>0</v>
      </c>
      <c r="J491" s="369"/>
      <c r="K491" s="369"/>
      <c r="L491" s="369"/>
      <c r="M491" s="369"/>
      <c r="N491" s="369"/>
      <c r="O491" s="338"/>
      <c r="P491" s="323"/>
    </row>
    <row r="492" spans="1:16">
      <c r="A492" s="323">
        <v>457</v>
      </c>
      <c r="B492" s="670"/>
      <c r="C492" s="1731"/>
      <c r="D492" s="463" t="s">
        <v>35</v>
      </c>
      <c r="E492" s="390">
        <v>136910</v>
      </c>
      <c r="F492" s="534"/>
      <c r="G492" s="371"/>
      <c r="H492" s="535">
        <f t="shared" si="70"/>
        <v>0</v>
      </c>
      <c r="I492" s="421">
        <f t="shared" si="71"/>
        <v>0</v>
      </c>
      <c r="J492" s="369"/>
      <c r="K492" s="369"/>
      <c r="L492" s="369"/>
      <c r="M492" s="369"/>
      <c r="N492" s="369"/>
      <c r="O492" s="338"/>
      <c r="P492" s="323"/>
    </row>
    <row r="493" spans="1:16">
      <c r="A493" s="323">
        <v>458</v>
      </c>
      <c r="B493" s="670"/>
      <c r="C493" s="1731" t="s">
        <v>36</v>
      </c>
      <c r="D493" s="463" t="s">
        <v>34</v>
      </c>
      <c r="E493" s="390">
        <v>109700</v>
      </c>
      <c r="F493" s="534"/>
      <c r="G493" s="371"/>
      <c r="H493" s="535">
        <f t="shared" si="70"/>
        <v>0</v>
      </c>
      <c r="I493" s="421">
        <f t="shared" si="71"/>
        <v>0</v>
      </c>
      <c r="J493" s="369"/>
      <c r="K493" s="369"/>
      <c r="L493" s="369"/>
      <c r="M493" s="369"/>
      <c r="N493" s="369"/>
      <c r="O493" s="338"/>
      <c r="P493" s="323"/>
    </row>
    <row r="494" spans="1:16">
      <c r="A494" s="323">
        <v>459</v>
      </c>
      <c r="B494" s="670"/>
      <c r="C494" s="1731"/>
      <c r="D494" s="463" t="s">
        <v>35</v>
      </c>
      <c r="E494" s="390">
        <v>109700</v>
      </c>
      <c r="F494" s="534"/>
      <c r="G494" s="371"/>
      <c r="H494" s="535">
        <f t="shared" si="70"/>
        <v>0</v>
      </c>
      <c r="I494" s="421">
        <f t="shared" si="71"/>
        <v>0</v>
      </c>
      <c r="J494" s="369"/>
      <c r="K494" s="369"/>
      <c r="L494" s="369"/>
      <c r="M494" s="369"/>
      <c r="N494" s="369"/>
      <c r="O494" s="338"/>
      <c r="P494" s="323"/>
    </row>
    <row r="495" spans="1:16">
      <c r="A495" s="323">
        <v>460</v>
      </c>
      <c r="B495" s="670"/>
      <c r="C495" s="1731"/>
      <c r="D495" s="463" t="s">
        <v>37</v>
      </c>
      <c r="E495" s="390">
        <v>107700</v>
      </c>
      <c r="F495" s="534"/>
      <c r="G495" s="371"/>
      <c r="H495" s="535">
        <f t="shared" si="70"/>
        <v>0</v>
      </c>
      <c r="I495" s="421">
        <f t="shared" si="71"/>
        <v>0</v>
      </c>
      <c r="J495" s="369"/>
      <c r="K495" s="369"/>
      <c r="L495" s="369"/>
      <c r="M495" s="369"/>
      <c r="N495" s="369"/>
      <c r="O495" s="338"/>
      <c r="P495" s="323"/>
    </row>
    <row r="496" spans="1:16">
      <c r="A496" s="323">
        <v>461</v>
      </c>
      <c r="B496" s="670"/>
      <c r="C496" s="1731" t="s">
        <v>38</v>
      </c>
      <c r="D496" s="463" t="s">
        <v>34</v>
      </c>
      <c r="E496" s="390">
        <v>88250</v>
      </c>
      <c r="F496" s="534"/>
      <c r="G496" s="371"/>
      <c r="H496" s="535">
        <f t="shared" si="70"/>
        <v>0</v>
      </c>
      <c r="I496" s="421">
        <f t="shared" si="71"/>
        <v>0</v>
      </c>
      <c r="J496" s="369"/>
      <c r="K496" s="369"/>
      <c r="L496" s="369"/>
      <c r="M496" s="369"/>
      <c r="N496" s="369"/>
      <c r="O496" s="338"/>
      <c r="P496" s="323"/>
    </row>
    <row r="497" spans="1:16">
      <c r="A497" s="323">
        <v>462</v>
      </c>
      <c r="B497" s="670"/>
      <c r="C497" s="1731"/>
      <c r="D497" s="463" t="s">
        <v>35</v>
      </c>
      <c r="E497" s="390">
        <v>86580</v>
      </c>
      <c r="F497" s="534"/>
      <c r="G497" s="371"/>
      <c r="H497" s="535">
        <f t="shared" si="70"/>
        <v>0</v>
      </c>
      <c r="I497" s="421">
        <f t="shared" si="71"/>
        <v>0</v>
      </c>
      <c r="J497" s="369"/>
      <c r="K497" s="369"/>
      <c r="L497" s="369"/>
      <c r="M497" s="369"/>
      <c r="N497" s="369"/>
      <c r="O497" s="338"/>
      <c r="P497" s="323"/>
    </row>
    <row r="498" spans="1:16">
      <c r="A498" s="323">
        <v>463</v>
      </c>
      <c r="B498" s="670"/>
      <c r="C498" s="1731"/>
      <c r="D498" s="463" t="s">
        <v>37</v>
      </c>
      <c r="E498" s="390">
        <v>84900</v>
      </c>
      <c r="F498" s="534"/>
      <c r="G498" s="371"/>
      <c r="H498" s="535">
        <f t="shared" si="70"/>
        <v>0</v>
      </c>
      <c r="I498" s="421">
        <f t="shared" si="71"/>
        <v>0</v>
      </c>
      <c r="J498" s="369"/>
      <c r="K498" s="369"/>
      <c r="L498" s="369"/>
      <c r="M498" s="369"/>
      <c r="N498" s="369"/>
      <c r="O498" s="338"/>
      <c r="P498" s="323"/>
    </row>
    <row r="499" spans="1:16">
      <c r="A499" s="323">
        <v>464</v>
      </c>
      <c r="B499" s="324"/>
      <c r="C499" s="1731"/>
      <c r="D499" s="463" t="s">
        <v>39</v>
      </c>
      <c r="E499" s="390">
        <v>83180</v>
      </c>
      <c r="F499" s="534"/>
      <c r="G499" s="371"/>
      <c r="H499" s="535">
        <f t="shared" si="70"/>
        <v>0</v>
      </c>
      <c r="I499" s="421">
        <f t="shared" si="71"/>
        <v>0</v>
      </c>
      <c r="J499" s="369"/>
      <c r="K499" s="369"/>
      <c r="L499" s="369"/>
      <c r="M499" s="369"/>
      <c r="N499" s="369"/>
      <c r="O499" s="338"/>
      <c r="P499" s="323"/>
    </row>
    <row r="500" spans="1:16">
      <c r="A500" s="323">
        <v>465</v>
      </c>
      <c r="B500" s="338"/>
      <c r="C500" s="1731"/>
      <c r="D500" s="463" t="s">
        <v>40</v>
      </c>
      <c r="E500" s="390">
        <v>81610</v>
      </c>
      <c r="F500" s="534"/>
      <c r="G500" s="371"/>
      <c r="H500" s="535">
        <f t="shared" si="70"/>
        <v>0</v>
      </c>
      <c r="I500" s="421">
        <f t="shared" si="71"/>
        <v>0</v>
      </c>
      <c r="J500" s="369"/>
      <c r="K500" s="369"/>
      <c r="L500" s="369"/>
      <c r="M500" s="369"/>
      <c r="N500" s="369"/>
      <c r="O500" s="338"/>
      <c r="P500" s="323"/>
    </row>
    <row r="501" spans="1:16">
      <c r="A501" s="323">
        <v>466</v>
      </c>
      <c r="B501" s="338"/>
      <c r="C501" s="1731" t="s">
        <v>41</v>
      </c>
      <c r="D501" s="463" t="s">
        <v>34</v>
      </c>
      <c r="E501" s="390">
        <v>68600</v>
      </c>
      <c r="F501" s="534"/>
      <c r="G501" s="371"/>
      <c r="H501" s="535">
        <f t="shared" si="70"/>
        <v>0</v>
      </c>
      <c r="I501" s="421">
        <f t="shared" si="71"/>
        <v>0</v>
      </c>
      <c r="J501" s="369"/>
      <c r="K501" s="369"/>
      <c r="L501" s="369"/>
      <c r="M501" s="369"/>
      <c r="N501" s="369"/>
      <c r="O501" s="338"/>
      <c r="P501" s="323"/>
    </row>
    <row r="502" spans="1:16">
      <c r="A502" s="323">
        <v>467</v>
      </c>
      <c r="B502" s="338"/>
      <c r="C502" s="1731"/>
      <c r="D502" s="463" t="s">
        <v>35</v>
      </c>
      <c r="E502" s="390">
        <v>67350</v>
      </c>
      <c r="F502" s="534"/>
      <c r="G502" s="371"/>
      <c r="H502" s="535">
        <f t="shared" si="70"/>
        <v>0</v>
      </c>
      <c r="I502" s="421">
        <f t="shared" si="71"/>
        <v>0</v>
      </c>
      <c r="J502" s="369"/>
      <c r="K502" s="369"/>
      <c r="L502" s="369"/>
      <c r="M502" s="369"/>
      <c r="N502" s="369"/>
      <c r="O502" s="338"/>
      <c r="P502" s="323"/>
    </row>
    <row r="503" spans="1:16">
      <c r="A503" s="323">
        <v>468</v>
      </c>
      <c r="B503" s="338"/>
      <c r="C503" s="1731"/>
      <c r="D503" s="463" t="s">
        <v>37</v>
      </c>
      <c r="E503" s="390">
        <v>66090</v>
      </c>
      <c r="F503" s="534"/>
      <c r="G503" s="371"/>
      <c r="H503" s="535">
        <f t="shared" si="70"/>
        <v>0</v>
      </c>
      <c r="I503" s="421">
        <f t="shared" si="71"/>
        <v>0</v>
      </c>
      <c r="J503" s="369"/>
      <c r="K503" s="369"/>
      <c r="L503" s="369"/>
      <c r="M503" s="369"/>
      <c r="N503" s="369"/>
      <c r="O503" s="338"/>
      <c r="P503" s="323"/>
    </row>
    <row r="504" spans="1:16">
      <c r="A504" s="323">
        <v>469</v>
      </c>
      <c r="B504" s="338"/>
      <c r="C504" s="1731"/>
      <c r="D504" s="463" t="s">
        <v>39</v>
      </c>
      <c r="E504" s="390">
        <v>64840</v>
      </c>
      <c r="F504" s="534"/>
      <c r="G504" s="371"/>
      <c r="H504" s="535">
        <f t="shared" si="70"/>
        <v>0</v>
      </c>
      <c r="I504" s="421">
        <f t="shared" si="71"/>
        <v>0</v>
      </c>
      <c r="J504" s="369"/>
      <c r="K504" s="369"/>
      <c r="L504" s="369"/>
      <c r="M504" s="369"/>
      <c r="N504" s="369"/>
      <c r="O504" s="338"/>
      <c r="P504" s="323"/>
    </row>
    <row r="505" spans="1:16">
      <c r="A505" s="323">
        <v>470</v>
      </c>
      <c r="B505" s="338"/>
      <c r="C505" s="1731"/>
      <c r="D505" s="463" t="s">
        <v>40</v>
      </c>
      <c r="E505" s="390">
        <v>63590</v>
      </c>
      <c r="F505" s="534"/>
      <c r="G505" s="371"/>
      <c r="H505" s="535">
        <f t="shared" si="70"/>
        <v>0</v>
      </c>
      <c r="I505" s="421">
        <f t="shared" si="71"/>
        <v>0</v>
      </c>
      <c r="J505" s="369"/>
      <c r="K505" s="369"/>
      <c r="L505" s="369"/>
      <c r="M505" s="369"/>
      <c r="N505" s="369"/>
      <c r="O505" s="338"/>
      <c r="P505" s="323"/>
    </row>
    <row r="506" spans="1:16">
      <c r="A506" s="323">
        <v>471</v>
      </c>
      <c r="B506" s="338"/>
      <c r="C506" s="1731"/>
      <c r="D506" s="463" t="s">
        <v>42</v>
      </c>
      <c r="E506" s="390">
        <v>62440</v>
      </c>
      <c r="F506" s="534"/>
      <c r="G506" s="371"/>
      <c r="H506" s="535">
        <f t="shared" si="70"/>
        <v>0</v>
      </c>
      <c r="I506" s="421">
        <f t="shared" si="71"/>
        <v>0</v>
      </c>
      <c r="J506" s="369"/>
      <c r="K506" s="369"/>
      <c r="L506" s="369"/>
      <c r="M506" s="369"/>
      <c r="N506" s="369"/>
      <c r="O506" s="338"/>
      <c r="P506" s="323"/>
    </row>
    <row r="507" spans="1:16">
      <c r="A507" s="323">
        <v>472</v>
      </c>
      <c r="B507" s="338"/>
      <c r="C507" s="1731"/>
      <c r="D507" s="463" t="s">
        <v>43</v>
      </c>
      <c r="E507" s="390">
        <v>61290</v>
      </c>
      <c r="F507" s="534"/>
      <c r="G507" s="371"/>
      <c r="H507" s="535">
        <f t="shared" si="70"/>
        <v>0</v>
      </c>
      <c r="I507" s="421">
        <f t="shared" si="71"/>
        <v>0</v>
      </c>
      <c r="J507" s="369"/>
      <c r="K507" s="369"/>
      <c r="L507" s="369"/>
      <c r="M507" s="369"/>
      <c r="N507" s="369"/>
      <c r="O507" s="338"/>
      <c r="P507" s="323"/>
    </row>
    <row r="508" spans="1:16">
      <c r="A508" s="323">
        <v>473</v>
      </c>
      <c r="B508" s="338"/>
      <c r="C508" s="1757" t="s">
        <v>44</v>
      </c>
      <c r="D508" s="463" t="s">
        <v>37</v>
      </c>
      <c r="E508" s="390">
        <v>51760</v>
      </c>
      <c r="F508" s="534"/>
      <c r="G508" s="371"/>
      <c r="H508" s="535">
        <f t="shared" si="70"/>
        <v>0</v>
      </c>
      <c r="I508" s="421">
        <f t="shared" si="71"/>
        <v>0</v>
      </c>
      <c r="J508" s="369"/>
      <c r="K508" s="369"/>
      <c r="L508" s="369"/>
      <c r="M508" s="369"/>
      <c r="N508" s="369"/>
      <c r="O508" s="338"/>
      <c r="P508" s="323"/>
    </row>
    <row r="509" spans="1:16">
      <c r="A509" s="323">
        <v>474</v>
      </c>
      <c r="B509" s="338"/>
      <c r="C509" s="1757"/>
      <c r="D509" s="463" t="s">
        <v>39</v>
      </c>
      <c r="E509" s="390">
        <v>50860</v>
      </c>
      <c r="F509" s="534"/>
      <c r="G509" s="371"/>
      <c r="H509" s="535">
        <f t="shared" si="70"/>
        <v>0</v>
      </c>
      <c r="I509" s="421">
        <f t="shared" si="71"/>
        <v>0</v>
      </c>
      <c r="J509" s="369"/>
      <c r="K509" s="369"/>
      <c r="L509" s="369"/>
      <c r="M509" s="369"/>
      <c r="N509" s="369"/>
      <c r="O509" s="338"/>
      <c r="P509" s="323"/>
    </row>
    <row r="510" spans="1:16">
      <c r="A510" s="323">
        <v>475</v>
      </c>
      <c r="B510" s="338"/>
      <c r="C510" s="1757"/>
      <c r="D510" s="463" t="s">
        <v>40</v>
      </c>
      <c r="E510" s="390">
        <v>49915</v>
      </c>
      <c r="F510" s="534"/>
      <c r="G510" s="371"/>
      <c r="H510" s="535">
        <f t="shared" si="70"/>
        <v>0</v>
      </c>
      <c r="I510" s="421">
        <f t="shared" si="71"/>
        <v>0</v>
      </c>
      <c r="J510" s="369"/>
      <c r="K510" s="369"/>
      <c r="L510" s="369"/>
      <c r="M510" s="369"/>
      <c r="N510" s="369"/>
      <c r="O510" s="338"/>
      <c r="P510" s="323"/>
    </row>
    <row r="511" spans="1:16">
      <c r="A511" s="323">
        <v>476</v>
      </c>
      <c r="B511" s="338"/>
      <c r="C511" s="1757"/>
      <c r="D511" s="463" t="s">
        <v>42</v>
      </c>
      <c r="E511" s="390">
        <v>48970</v>
      </c>
      <c r="F511" s="534"/>
      <c r="G511" s="371"/>
      <c r="H511" s="535">
        <f t="shared" si="70"/>
        <v>0</v>
      </c>
      <c r="I511" s="421">
        <f t="shared" si="71"/>
        <v>0</v>
      </c>
      <c r="J511" s="369"/>
      <c r="K511" s="369"/>
      <c r="L511" s="369"/>
      <c r="M511" s="369"/>
      <c r="N511" s="369"/>
      <c r="O511" s="338"/>
      <c r="P511" s="323"/>
    </row>
    <row r="512" spans="1:16">
      <c r="A512" s="323">
        <v>477</v>
      </c>
      <c r="B512" s="338"/>
      <c r="C512" s="1757"/>
      <c r="D512" s="463" t="s">
        <v>43</v>
      </c>
      <c r="E512" s="390">
        <v>48080</v>
      </c>
      <c r="F512" s="534"/>
      <c r="G512" s="371"/>
      <c r="H512" s="535">
        <f t="shared" si="70"/>
        <v>0</v>
      </c>
      <c r="I512" s="421">
        <f t="shared" si="71"/>
        <v>0</v>
      </c>
      <c r="J512" s="369"/>
      <c r="K512" s="369"/>
      <c r="L512" s="369"/>
      <c r="M512" s="369"/>
      <c r="N512" s="369"/>
      <c r="O512" s="338"/>
      <c r="P512" s="323"/>
    </row>
    <row r="513" spans="1:16">
      <c r="A513" s="323">
        <v>478</v>
      </c>
      <c r="B513" s="338"/>
      <c r="C513" s="1757"/>
      <c r="D513" s="463" t="s">
        <v>45</v>
      </c>
      <c r="E513" s="390">
        <v>47185</v>
      </c>
      <c r="F513" s="534"/>
      <c r="G513" s="371"/>
      <c r="H513" s="535">
        <f t="shared" si="70"/>
        <v>0</v>
      </c>
      <c r="I513" s="421">
        <f t="shared" si="71"/>
        <v>0</v>
      </c>
      <c r="J513" s="369"/>
      <c r="K513" s="369"/>
      <c r="L513" s="369"/>
      <c r="M513" s="369"/>
      <c r="N513" s="369"/>
      <c r="O513" s="338"/>
      <c r="P513" s="323"/>
    </row>
    <row r="514" spans="1:16">
      <c r="A514" s="323">
        <v>479</v>
      </c>
      <c r="B514" s="338"/>
      <c r="C514" s="1757"/>
      <c r="D514" s="463" t="s">
        <v>46</v>
      </c>
      <c r="E514" s="390">
        <v>46345</v>
      </c>
      <c r="F514" s="534"/>
      <c r="G514" s="371"/>
      <c r="H514" s="535">
        <f t="shared" si="70"/>
        <v>0</v>
      </c>
      <c r="I514" s="421">
        <f t="shared" si="71"/>
        <v>0</v>
      </c>
      <c r="J514" s="369"/>
      <c r="K514" s="369"/>
      <c r="L514" s="369"/>
      <c r="M514" s="369"/>
      <c r="N514" s="369"/>
      <c r="O514" s="338"/>
      <c r="P514" s="323"/>
    </row>
    <row r="515" spans="1:16">
      <c r="A515" s="323">
        <v>480</v>
      </c>
      <c r="B515" s="338"/>
      <c r="C515" s="1757" t="s">
        <v>47</v>
      </c>
      <c r="D515" s="463" t="s">
        <v>40</v>
      </c>
      <c r="E515" s="390">
        <v>43450</v>
      </c>
      <c r="F515" s="534"/>
      <c r="G515" s="371"/>
      <c r="H515" s="535">
        <f t="shared" si="70"/>
        <v>0</v>
      </c>
      <c r="I515" s="421">
        <f t="shared" si="71"/>
        <v>0</v>
      </c>
      <c r="J515" s="369"/>
      <c r="K515" s="369"/>
      <c r="L515" s="369"/>
      <c r="M515" s="369"/>
      <c r="N515" s="369"/>
      <c r="O515" s="338"/>
      <c r="P515" s="323"/>
    </row>
    <row r="516" spans="1:16">
      <c r="A516" s="323">
        <v>481</v>
      </c>
      <c r="B516" s="338"/>
      <c r="C516" s="1757"/>
      <c r="D516" s="463" t="s">
        <v>42</v>
      </c>
      <c r="E516" s="390">
        <v>43120</v>
      </c>
      <c r="F516" s="534"/>
      <c r="G516" s="371"/>
      <c r="H516" s="535">
        <f t="shared" si="70"/>
        <v>0</v>
      </c>
      <c r="I516" s="421">
        <f t="shared" si="71"/>
        <v>0</v>
      </c>
      <c r="J516" s="369"/>
      <c r="K516" s="369"/>
      <c r="L516" s="369"/>
      <c r="M516" s="369"/>
      <c r="N516" s="369"/>
      <c r="O516" s="338"/>
      <c r="P516" s="323"/>
    </row>
    <row r="517" spans="1:16">
      <c r="A517" s="323">
        <v>482</v>
      </c>
      <c r="B517" s="338"/>
      <c r="C517" s="1757"/>
      <c r="D517" s="463" t="s">
        <v>43</v>
      </c>
      <c r="E517" s="390">
        <v>42780</v>
      </c>
      <c r="F517" s="534"/>
      <c r="G517" s="371"/>
      <c r="H517" s="535">
        <f t="shared" si="70"/>
        <v>0</v>
      </c>
      <c r="I517" s="421">
        <f t="shared" si="71"/>
        <v>0</v>
      </c>
      <c r="J517" s="369"/>
      <c r="K517" s="369"/>
      <c r="L517" s="369"/>
      <c r="M517" s="369"/>
      <c r="N517" s="369"/>
      <c r="O517" s="338"/>
      <c r="P517" s="323"/>
    </row>
    <row r="518" spans="1:16">
      <c r="A518" s="323">
        <v>483</v>
      </c>
      <c r="B518" s="338"/>
      <c r="C518" s="1757"/>
      <c r="D518" s="463" t="s">
        <v>45</v>
      </c>
      <c r="E518" s="390">
        <v>42450</v>
      </c>
      <c r="F518" s="534"/>
      <c r="G518" s="371"/>
      <c r="H518" s="535">
        <f t="shared" si="70"/>
        <v>0</v>
      </c>
      <c r="I518" s="421">
        <f t="shared" si="71"/>
        <v>0</v>
      </c>
      <c r="J518" s="369"/>
      <c r="K518" s="369"/>
      <c r="L518" s="369"/>
      <c r="M518" s="369"/>
      <c r="N518" s="369"/>
      <c r="O518" s="338"/>
      <c r="P518" s="323"/>
    </row>
    <row r="519" spans="1:16">
      <c r="A519" s="323">
        <v>484</v>
      </c>
      <c r="B519" s="338"/>
      <c r="C519" s="1757"/>
      <c r="D519" s="463" t="s">
        <v>46</v>
      </c>
      <c r="E519" s="390">
        <v>41780</v>
      </c>
      <c r="F519" s="534"/>
      <c r="G519" s="371"/>
      <c r="H519" s="535">
        <f t="shared" si="70"/>
        <v>0</v>
      </c>
      <c r="I519" s="421">
        <f t="shared" si="71"/>
        <v>0</v>
      </c>
      <c r="J519" s="369"/>
      <c r="K519" s="369"/>
      <c r="L519" s="369"/>
      <c r="M519" s="369"/>
      <c r="N519" s="369"/>
      <c r="O519" s="338"/>
      <c r="P519" s="323"/>
    </row>
    <row r="520" spans="1:16">
      <c r="A520" s="323">
        <v>485</v>
      </c>
      <c r="B520" s="338"/>
      <c r="C520" s="1757"/>
      <c r="D520" s="463" t="s">
        <v>48</v>
      </c>
      <c r="E520" s="390">
        <v>41100</v>
      </c>
      <c r="F520" s="534"/>
      <c r="G520" s="371"/>
      <c r="H520" s="535">
        <f t="shared" si="70"/>
        <v>0</v>
      </c>
      <c r="I520" s="421">
        <f t="shared" si="71"/>
        <v>0</v>
      </c>
      <c r="J520" s="369"/>
      <c r="K520" s="369"/>
      <c r="L520" s="369"/>
      <c r="M520" s="369"/>
      <c r="N520" s="369"/>
      <c r="O520" s="338"/>
      <c r="P520" s="323"/>
    </row>
    <row r="521" spans="1:16">
      <c r="A521" s="323">
        <v>486</v>
      </c>
      <c r="B521" s="338"/>
      <c r="C521" s="1757"/>
      <c r="D521" s="463" t="s">
        <v>49</v>
      </c>
      <c r="E521" s="390">
        <v>40430</v>
      </c>
      <c r="F521" s="534"/>
      <c r="G521" s="371"/>
      <c r="H521" s="535">
        <f t="shared" si="70"/>
        <v>0</v>
      </c>
      <c r="I521" s="421">
        <f t="shared" si="71"/>
        <v>0</v>
      </c>
      <c r="J521" s="369"/>
      <c r="K521" s="369"/>
      <c r="L521" s="369"/>
      <c r="M521" s="369"/>
      <c r="N521" s="369"/>
      <c r="O521" s="338"/>
      <c r="P521" s="323"/>
    </row>
    <row r="522" spans="1:16">
      <c r="A522" s="323">
        <v>487</v>
      </c>
      <c r="B522" s="338"/>
      <c r="C522" s="1757"/>
      <c r="D522" s="463" t="s">
        <v>50</v>
      </c>
      <c r="E522" s="390">
        <v>39760</v>
      </c>
      <c r="F522" s="534"/>
      <c r="G522" s="371"/>
      <c r="H522" s="535">
        <f t="shared" si="70"/>
        <v>0</v>
      </c>
      <c r="I522" s="421">
        <f t="shared" si="71"/>
        <v>0</v>
      </c>
      <c r="J522" s="369"/>
      <c r="K522" s="369"/>
      <c r="L522" s="369"/>
      <c r="M522" s="369"/>
      <c r="N522" s="369"/>
      <c r="O522" s="338"/>
      <c r="P522" s="323"/>
    </row>
    <row r="523" spans="1:16">
      <c r="A523" s="323">
        <v>488</v>
      </c>
      <c r="B523" s="338"/>
      <c r="C523" s="1731" t="s">
        <v>51</v>
      </c>
      <c r="D523" s="463" t="s">
        <v>46</v>
      </c>
      <c r="E523" s="390">
        <v>39760</v>
      </c>
      <c r="F523" s="534"/>
      <c r="G523" s="371"/>
      <c r="H523" s="535">
        <f t="shared" si="70"/>
        <v>0</v>
      </c>
      <c r="I523" s="421">
        <f t="shared" si="71"/>
        <v>0</v>
      </c>
      <c r="J523" s="369"/>
      <c r="K523" s="369"/>
      <c r="L523" s="369"/>
      <c r="M523" s="369"/>
      <c r="N523" s="369"/>
      <c r="O523" s="338"/>
      <c r="P523" s="323"/>
    </row>
    <row r="524" spans="1:16">
      <c r="A524" s="323">
        <v>489</v>
      </c>
      <c r="B524" s="338"/>
      <c r="C524" s="1731"/>
      <c r="D524" s="463" t="s">
        <v>48</v>
      </c>
      <c r="E524" s="390">
        <v>39425</v>
      </c>
      <c r="F524" s="534"/>
      <c r="G524" s="371"/>
      <c r="H524" s="535">
        <f t="shared" si="70"/>
        <v>0</v>
      </c>
      <c r="I524" s="421">
        <f t="shared" si="71"/>
        <v>0</v>
      </c>
      <c r="J524" s="369"/>
      <c r="K524" s="369"/>
      <c r="L524" s="369"/>
      <c r="M524" s="369"/>
      <c r="N524" s="369"/>
      <c r="O524" s="338"/>
      <c r="P524" s="323"/>
    </row>
    <row r="525" spans="1:16">
      <c r="A525" s="323">
        <v>490</v>
      </c>
      <c r="B525" s="338"/>
      <c r="C525" s="1731"/>
      <c r="D525" s="463" t="s">
        <v>49</v>
      </c>
      <c r="E525" s="390">
        <v>39080</v>
      </c>
      <c r="F525" s="534"/>
      <c r="G525" s="371"/>
      <c r="H525" s="535">
        <f t="shared" si="70"/>
        <v>0</v>
      </c>
      <c r="I525" s="421">
        <f t="shared" si="71"/>
        <v>0</v>
      </c>
      <c r="J525" s="369"/>
      <c r="K525" s="369"/>
      <c r="L525" s="369"/>
      <c r="M525" s="369"/>
      <c r="N525" s="369"/>
      <c r="O525" s="338"/>
      <c r="P525" s="323"/>
    </row>
    <row r="526" spans="1:16">
      <c r="A526" s="323">
        <v>491</v>
      </c>
      <c r="B526" s="338"/>
      <c r="C526" s="1731"/>
      <c r="D526" s="463" t="s">
        <v>50</v>
      </c>
      <c r="E526" s="390">
        <v>38640</v>
      </c>
      <c r="F526" s="534"/>
      <c r="G526" s="371"/>
      <c r="H526" s="535">
        <f t="shared" si="70"/>
        <v>0</v>
      </c>
      <c r="I526" s="421">
        <f t="shared" si="71"/>
        <v>0</v>
      </c>
      <c r="J526" s="369"/>
      <c r="K526" s="369"/>
      <c r="L526" s="369"/>
      <c r="M526" s="369"/>
      <c r="N526" s="369"/>
      <c r="O526" s="338"/>
      <c r="P526" s="323"/>
    </row>
    <row r="527" spans="1:16">
      <c r="A527" s="323">
        <v>492</v>
      </c>
      <c r="B527" s="338"/>
      <c r="C527" s="1731"/>
      <c r="D527" s="463" t="s">
        <v>52</v>
      </c>
      <c r="E527" s="432">
        <v>38080</v>
      </c>
      <c r="F527" s="534"/>
      <c r="G527" s="371"/>
      <c r="H527" s="535">
        <f t="shared" si="70"/>
        <v>0</v>
      </c>
      <c r="I527" s="421">
        <f t="shared" si="71"/>
        <v>0</v>
      </c>
      <c r="J527" s="369"/>
      <c r="K527" s="369"/>
      <c r="L527" s="369"/>
      <c r="M527" s="369"/>
      <c r="N527" s="369"/>
      <c r="O527" s="338"/>
      <c r="P527" s="323"/>
    </row>
    <row r="528" spans="1:16">
      <c r="A528" s="323">
        <v>493</v>
      </c>
      <c r="B528" s="338"/>
      <c r="C528" s="1731"/>
      <c r="D528" s="463" t="s">
        <v>53</v>
      </c>
      <c r="E528" s="671"/>
      <c r="F528" s="534"/>
      <c r="G528" s="371"/>
      <c r="H528" s="535">
        <f t="shared" si="70"/>
        <v>0</v>
      </c>
      <c r="I528" s="421">
        <f t="shared" si="71"/>
        <v>0</v>
      </c>
      <c r="J528" s="369"/>
      <c r="K528" s="369"/>
      <c r="L528" s="369"/>
      <c r="M528" s="369"/>
      <c r="N528" s="369"/>
      <c r="O528" s="338"/>
      <c r="P528" s="323"/>
    </row>
    <row r="529" spans="1:16">
      <c r="A529" s="323">
        <v>494</v>
      </c>
      <c r="B529" s="338"/>
      <c r="C529" s="672" t="s">
        <v>54</v>
      </c>
      <c r="D529" s="463" t="s">
        <v>48</v>
      </c>
      <c r="E529" s="390">
        <v>37285</v>
      </c>
      <c r="F529" s="534"/>
      <c r="G529" s="371"/>
      <c r="H529" s="535">
        <f t="shared" si="70"/>
        <v>0</v>
      </c>
      <c r="I529" s="421">
        <f t="shared" si="71"/>
        <v>0</v>
      </c>
      <c r="J529" s="369"/>
      <c r="K529" s="369"/>
      <c r="L529" s="369"/>
      <c r="M529" s="369"/>
      <c r="N529" s="369"/>
      <c r="O529" s="338"/>
      <c r="P529" s="323"/>
    </row>
    <row r="530" spans="1:16">
      <c r="A530" s="323">
        <v>495</v>
      </c>
      <c r="B530" s="338"/>
      <c r="C530" s="635"/>
      <c r="D530" s="463" t="s">
        <v>49</v>
      </c>
      <c r="E530" s="390">
        <v>37285</v>
      </c>
      <c r="F530" s="534"/>
      <c r="G530" s="371"/>
      <c r="H530" s="535">
        <f t="shared" si="70"/>
        <v>0</v>
      </c>
      <c r="I530" s="421">
        <f t="shared" si="71"/>
        <v>0</v>
      </c>
      <c r="J530" s="369"/>
      <c r="K530" s="369"/>
      <c r="L530" s="369"/>
      <c r="M530" s="369"/>
      <c r="N530" s="369"/>
      <c r="O530" s="338"/>
      <c r="P530" s="323"/>
    </row>
    <row r="531" spans="1:16">
      <c r="A531" s="323">
        <v>496</v>
      </c>
      <c r="B531" s="338"/>
      <c r="C531" s="635"/>
      <c r="D531" s="463" t="s">
        <v>50</v>
      </c>
      <c r="E531" s="390">
        <v>36720</v>
      </c>
      <c r="F531" s="534"/>
      <c r="G531" s="371"/>
      <c r="H531" s="535">
        <f t="shared" si="70"/>
        <v>0</v>
      </c>
      <c r="I531" s="421">
        <f t="shared" si="71"/>
        <v>0</v>
      </c>
      <c r="J531" s="369"/>
      <c r="K531" s="369"/>
      <c r="L531" s="369"/>
      <c r="M531" s="369"/>
      <c r="N531" s="369"/>
      <c r="O531" s="338"/>
      <c r="P531" s="323"/>
    </row>
    <row r="532" spans="1:16">
      <c r="A532" s="323">
        <v>497</v>
      </c>
      <c r="B532" s="338"/>
      <c r="C532" s="635"/>
      <c r="D532" s="463" t="s">
        <v>52</v>
      </c>
      <c r="E532" s="390">
        <v>36155</v>
      </c>
      <c r="F532" s="534"/>
      <c r="G532" s="371"/>
      <c r="H532" s="535">
        <f t="shared" si="70"/>
        <v>0</v>
      </c>
      <c r="I532" s="421">
        <f t="shared" si="71"/>
        <v>0</v>
      </c>
      <c r="J532" s="369"/>
      <c r="K532" s="369"/>
      <c r="L532" s="369"/>
      <c r="M532" s="369"/>
      <c r="N532" s="369"/>
      <c r="O532" s="338"/>
      <c r="P532" s="323"/>
    </row>
    <row r="533" spans="1:16">
      <c r="A533" s="323">
        <v>498</v>
      </c>
      <c r="B533" s="338"/>
      <c r="C533" s="635"/>
      <c r="D533" s="463" t="s">
        <v>53</v>
      </c>
      <c r="E533" s="390">
        <v>35590</v>
      </c>
      <c r="F533" s="534"/>
      <c r="G533" s="371"/>
      <c r="H533" s="535">
        <f t="shared" si="70"/>
        <v>0</v>
      </c>
      <c r="I533" s="421">
        <f t="shared" si="71"/>
        <v>0</v>
      </c>
      <c r="J533" s="369"/>
      <c r="K533" s="369"/>
      <c r="L533" s="369"/>
      <c r="M533" s="369"/>
      <c r="N533" s="369"/>
      <c r="O533" s="338"/>
      <c r="P533" s="323"/>
    </row>
    <row r="534" spans="1:16">
      <c r="A534" s="323">
        <v>499</v>
      </c>
      <c r="B534" s="338"/>
      <c r="C534" s="635"/>
      <c r="D534" s="463" t="s">
        <v>55</v>
      </c>
      <c r="E534" s="390">
        <v>35025</v>
      </c>
      <c r="F534" s="534"/>
      <c r="G534" s="371"/>
      <c r="H534" s="535">
        <f t="shared" si="70"/>
        <v>0</v>
      </c>
      <c r="I534" s="421">
        <f t="shared" si="71"/>
        <v>0</v>
      </c>
      <c r="J534" s="369"/>
      <c r="K534" s="369"/>
      <c r="L534" s="369"/>
      <c r="M534" s="369"/>
      <c r="N534" s="369"/>
      <c r="O534" s="338"/>
      <c r="P534" s="323"/>
    </row>
    <row r="535" spans="1:16">
      <c r="A535" s="323">
        <v>500</v>
      </c>
      <c r="B535" s="338"/>
      <c r="C535" s="672" t="s">
        <v>56</v>
      </c>
      <c r="D535" s="463" t="s">
        <v>34</v>
      </c>
      <c r="E535" s="390">
        <v>46660</v>
      </c>
      <c r="F535" s="534"/>
      <c r="G535" s="371"/>
      <c r="H535" s="535">
        <f t="shared" si="70"/>
        <v>0</v>
      </c>
      <c r="I535" s="421">
        <f t="shared" si="71"/>
        <v>0</v>
      </c>
      <c r="J535" s="369"/>
      <c r="K535" s="369"/>
      <c r="L535" s="369"/>
      <c r="M535" s="369"/>
      <c r="N535" s="369"/>
      <c r="O535" s="338"/>
      <c r="P535" s="323"/>
    </row>
    <row r="536" spans="1:16">
      <c r="A536" s="323">
        <v>501</v>
      </c>
      <c r="B536" s="338"/>
      <c r="C536" s="635"/>
      <c r="D536" s="463" t="s">
        <v>35</v>
      </c>
      <c r="E536" s="390">
        <v>45610</v>
      </c>
      <c r="F536" s="534"/>
      <c r="G536" s="371"/>
      <c r="H536" s="535">
        <f t="shared" si="70"/>
        <v>0</v>
      </c>
      <c r="I536" s="421">
        <f t="shared" si="71"/>
        <v>0</v>
      </c>
      <c r="J536" s="369"/>
      <c r="K536" s="369"/>
      <c r="L536" s="369"/>
      <c r="M536" s="369"/>
      <c r="N536" s="369"/>
      <c r="O536" s="338"/>
      <c r="P536" s="323"/>
    </row>
    <row r="537" spans="1:16">
      <c r="A537" s="323">
        <v>502</v>
      </c>
      <c r="B537" s="338"/>
      <c r="C537" s="635"/>
      <c r="D537" s="463" t="s">
        <v>37</v>
      </c>
      <c r="E537" s="390">
        <v>45080</v>
      </c>
      <c r="F537" s="534"/>
      <c r="G537" s="371"/>
      <c r="H537" s="535">
        <f t="shared" si="70"/>
        <v>0</v>
      </c>
      <c r="I537" s="421">
        <f t="shared" si="71"/>
        <v>0</v>
      </c>
      <c r="J537" s="369"/>
      <c r="K537" s="369"/>
      <c r="L537" s="369"/>
      <c r="M537" s="369"/>
      <c r="N537" s="369"/>
      <c r="O537" s="338"/>
      <c r="P537" s="323"/>
    </row>
    <row r="538" spans="1:16">
      <c r="A538" s="323">
        <v>503</v>
      </c>
      <c r="B538" s="338"/>
      <c r="C538" s="635"/>
      <c r="D538" s="463" t="s">
        <v>39</v>
      </c>
      <c r="E538" s="390">
        <v>44010</v>
      </c>
      <c r="F538" s="534"/>
      <c r="G538" s="371"/>
      <c r="H538" s="535">
        <f t="shared" si="70"/>
        <v>0</v>
      </c>
      <c r="I538" s="421">
        <f t="shared" si="71"/>
        <v>0</v>
      </c>
      <c r="J538" s="369"/>
      <c r="K538" s="369"/>
      <c r="L538" s="369"/>
      <c r="M538" s="369"/>
      <c r="N538" s="369"/>
      <c r="O538" s="338"/>
      <c r="P538" s="323"/>
    </row>
    <row r="539" spans="1:16">
      <c r="A539" s="323">
        <v>504</v>
      </c>
      <c r="B539" s="338"/>
      <c r="C539" s="635"/>
      <c r="D539" s="463" t="s">
        <v>40</v>
      </c>
      <c r="E539" s="390">
        <v>43460</v>
      </c>
      <c r="F539" s="534"/>
      <c r="G539" s="371"/>
      <c r="H539" s="535">
        <f t="shared" si="70"/>
        <v>0</v>
      </c>
      <c r="I539" s="421">
        <f t="shared" si="71"/>
        <v>0</v>
      </c>
      <c r="J539" s="369"/>
      <c r="K539" s="369"/>
      <c r="L539" s="369"/>
      <c r="M539" s="369"/>
      <c r="N539" s="369"/>
      <c r="O539" s="338"/>
      <c r="P539" s="323"/>
    </row>
    <row r="540" spans="1:16">
      <c r="A540" s="323">
        <v>505</v>
      </c>
      <c r="B540" s="338"/>
      <c r="C540" s="672" t="s">
        <v>57</v>
      </c>
      <c r="D540" s="463" t="s">
        <v>37</v>
      </c>
      <c r="E540" s="390">
        <v>41810</v>
      </c>
      <c r="F540" s="534"/>
      <c r="G540" s="371"/>
      <c r="H540" s="535">
        <f t="shared" si="70"/>
        <v>0</v>
      </c>
      <c r="I540" s="421">
        <f t="shared" si="71"/>
        <v>0</v>
      </c>
      <c r="J540" s="369"/>
      <c r="K540" s="369"/>
      <c r="L540" s="369"/>
      <c r="M540" s="369"/>
      <c r="N540" s="369"/>
      <c r="O540" s="338"/>
      <c r="P540" s="323"/>
    </row>
    <row r="541" spans="1:16">
      <c r="A541" s="323">
        <v>506</v>
      </c>
      <c r="B541" s="338"/>
      <c r="C541" s="635"/>
      <c r="D541" s="463" t="s">
        <v>39</v>
      </c>
      <c r="E541" s="390">
        <v>40710</v>
      </c>
      <c r="F541" s="534"/>
      <c r="G541" s="371"/>
      <c r="H541" s="535">
        <f t="shared" si="70"/>
        <v>0</v>
      </c>
      <c r="I541" s="421">
        <f t="shared" si="71"/>
        <v>0</v>
      </c>
      <c r="J541" s="369"/>
      <c r="K541" s="369"/>
      <c r="L541" s="369"/>
      <c r="M541" s="369"/>
      <c r="N541" s="369"/>
      <c r="O541" s="338"/>
      <c r="P541" s="323"/>
    </row>
    <row r="542" spans="1:16">
      <c r="A542" s="323">
        <v>507</v>
      </c>
      <c r="B542" s="338"/>
      <c r="C542" s="635"/>
      <c r="D542" s="463" t="s">
        <v>40</v>
      </c>
      <c r="E542" s="390">
        <v>39280</v>
      </c>
      <c r="F542" s="534"/>
      <c r="G542" s="371"/>
      <c r="H542" s="535">
        <f t="shared" si="70"/>
        <v>0</v>
      </c>
      <c r="I542" s="421">
        <f t="shared" si="71"/>
        <v>0</v>
      </c>
      <c r="J542" s="369"/>
      <c r="K542" s="369"/>
      <c r="L542" s="369"/>
      <c r="M542" s="369"/>
      <c r="N542" s="369"/>
      <c r="O542" s="338"/>
      <c r="P542" s="323"/>
    </row>
    <row r="543" spans="1:16">
      <c r="A543" s="323">
        <v>508</v>
      </c>
      <c r="B543" s="338"/>
      <c r="C543" s="635"/>
      <c r="D543" s="463" t="s">
        <v>42</v>
      </c>
      <c r="E543" s="390">
        <v>38070</v>
      </c>
      <c r="F543" s="534"/>
      <c r="G543" s="371"/>
      <c r="H543" s="535">
        <f t="shared" si="70"/>
        <v>0</v>
      </c>
      <c r="I543" s="421">
        <f t="shared" si="71"/>
        <v>0</v>
      </c>
      <c r="J543" s="369"/>
      <c r="K543" s="369"/>
      <c r="L543" s="369"/>
      <c r="M543" s="369"/>
      <c r="N543" s="369"/>
      <c r="O543" s="338"/>
      <c r="P543" s="323"/>
    </row>
    <row r="544" spans="1:16">
      <c r="A544" s="323">
        <v>509</v>
      </c>
      <c r="B544" s="338"/>
      <c r="C544" s="635"/>
      <c r="D544" s="463" t="s">
        <v>43</v>
      </c>
      <c r="E544" s="390">
        <v>36860</v>
      </c>
      <c r="F544" s="534"/>
      <c r="G544" s="371"/>
      <c r="H544" s="535">
        <f t="shared" si="70"/>
        <v>0</v>
      </c>
      <c r="I544" s="421">
        <f t="shared" si="71"/>
        <v>0</v>
      </c>
      <c r="J544" s="369"/>
      <c r="K544" s="369"/>
      <c r="L544" s="369"/>
      <c r="M544" s="369"/>
      <c r="N544" s="369"/>
      <c r="O544" s="338"/>
      <c r="P544" s="323"/>
    </row>
    <row r="545" spans="1:16">
      <c r="A545" s="323">
        <v>510</v>
      </c>
      <c r="B545" s="338"/>
      <c r="C545" s="635"/>
      <c r="D545" s="463" t="s">
        <v>45</v>
      </c>
      <c r="E545" s="390">
        <v>35760</v>
      </c>
      <c r="F545" s="534"/>
      <c r="G545" s="371"/>
      <c r="H545" s="535">
        <f t="shared" si="70"/>
        <v>0</v>
      </c>
      <c r="I545" s="421">
        <f t="shared" si="71"/>
        <v>0</v>
      </c>
      <c r="J545" s="369"/>
      <c r="K545" s="369"/>
      <c r="L545" s="369"/>
      <c r="M545" s="369"/>
      <c r="N545" s="369"/>
      <c r="O545" s="338"/>
      <c r="P545" s="323"/>
    </row>
    <row r="546" spans="1:16">
      <c r="A546" s="323">
        <v>511</v>
      </c>
      <c r="B546" s="338"/>
      <c r="C546" s="672" t="s">
        <v>734</v>
      </c>
      <c r="D546" s="463" t="s">
        <v>40</v>
      </c>
      <c r="E546" s="390">
        <v>37855</v>
      </c>
      <c r="F546" s="534"/>
      <c r="G546" s="371"/>
      <c r="H546" s="535">
        <f t="shared" si="70"/>
        <v>0</v>
      </c>
      <c r="I546" s="421">
        <f t="shared" si="71"/>
        <v>0</v>
      </c>
      <c r="J546" s="369"/>
      <c r="K546" s="369"/>
      <c r="L546" s="369"/>
      <c r="M546" s="369"/>
      <c r="N546" s="369"/>
      <c r="O546" s="338"/>
      <c r="P546" s="323"/>
    </row>
    <row r="547" spans="1:16">
      <c r="A547" s="323">
        <v>512</v>
      </c>
      <c r="B547" s="338"/>
      <c r="C547" s="635"/>
      <c r="D547" s="463" t="s">
        <v>42</v>
      </c>
      <c r="E547" s="390">
        <v>37190</v>
      </c>
      <c r="F547" s="534"/>
      <c r="G547" s="371"/>
      <c r="H547" s="535">
        <f t="shared" si="70"/>
        <v>0</v>
      </c>
      <c r="I547" s="421">
        <f t="shared" si="71"/>
        <v>0</v>
      </c>
      <c r="J547" s="369"/>
      <c r="K547" s="369"/>
      <c r="L547" s="369"/>
      <c r="M547" s="369"/>
      <c r="N547" s="369"/>
      <c r="O547" s="338"/>
      <c r="P547" s="323"/>
    </row>
    <row r="548" spans="1:16">
      <c r="A548" s="323">
        <v>513</v>
      </c>
      <c r="B548" s="338"/>
      <c r="C548" s="635"/>
      <c r="D548" s="463" t="s">
        <v>43</v>
      </c>
      <c r="E548" s="390">
        <v>36080</v>
      </c>
      <c r="F548" s="534"/>
      <c r="G548" s="371"/>
      <c r="H548" s="535">
        <f t="shared" si="70"/>
        <v>0</v>
      </c>
      <c r="I548" s="421">
        <f t="shared" si="71"/>
        <v>0</v>
      </c>
      <c r="J548" s="369"/>
      <c r="K548" s="369"/>
      <c r="L548" s="369"/>
      <c r="M548" s="369"/>
      <c r="N548" s="369"/>
      <c r="O548" s="338"/>
      <c r="P548" s="323"/>
    </row>
    <row r="549" spans="1:16">
      <c r="A549" s="323">
        <v>514</v>
      </c>
      <c r="B549" s="338"/>
      <c r="C549" s="635"/>
      <c r="D549" s="463" t="s">
        <v>45</v>
      </c>
      <c r="E549" s="390">
        <v>34970</v>
      </c>
      <c r="F549" s="534"/>
      <c r="G549" s="371"/>
      <c r="H549" s="535">
        <f t="shared" si="70"/>
        <v>0</v>
      </c>
      <c r="I549" s="421">
        <f t="shared" si="71"/>
        <v>0</v>
      </c>
      <c r="J549" s="369"/>
      <c r="K549" s="369"/>
      <c r="L549" s="369"/>
      <c r="M549" s="369"/>
      <c r="N549" s="369"/>
      <c r="O549" s="338"/>
      <c r="P549" s="323"/>
    </row>
    <row r="550" spans="1:16">
      <c r="A550" s="323">
        <v>515</v>
      </c>
      <c r="B550" s="338"/>
      <c r="C550" s="635"/>
      <c r="D550" s="463" t="s">
        <v>46</v>
      </c>
      <c r="E550" s="390">
        <v>32860</v>
      </c>
      <c r="F550" s="534"/>
      <c r="G550" s="371"/>
      <c r="H550" s="535">
        <f t="shared" si="70"/>
        <v>0</v>
      </c>
      <c r="I550" s="421">
        <f t="shared" si="71"/>
        <v>0</v>
      </c>
      <c r="J550" s="369"/>
      <c r="K550" s="369"/>
      <c r="L550" s="369"/>
      <c r="M550" s="369"/>
      <c r="N550" s="369"/>
      <c r="O550" s="338"/>
      <c r="P550" s="323"/>
    </row>
    <row r="551" spans="1:16">
      <c r="A551" s="323">
        <v>516</v>
      </c>
      <c r="B551" s="338"/>
      <c r="C551" s="635"/>
      <c r="D551" s="463" t="s">
        <v>48</v>
      </c>
      <c r="E551" s="390">
        <v>31750</v>
      </c>
      <c r="F551" s="534"/>
      <c r="G551" s="371"/>
      <c r="H551" s="535">
        <f t="shared" si="70"/>
        <v>0</v>
      </c>
      <c r="I551" s="421">
        <f t="shared" si="71"/>
        <v>0</v>
      </c>
      <c r="J551" s="369"/>
      <c r="K551" s="369"/>
      <c r="L551" s="369"/>
      <c r="M551" s="369"/>
      <c r="N551" s="369"/>
      <c r="O551" s="338"/>
      <c r="P551" s="323"/>
    </row>
    <row r="552" spans="1:16">
      <c r="A552" s="323">
        <v>517</v>
      </c>
      <c r="B552" s="338"/>
      <c r="C552" s="672" t="s">
        <v>58</v>
      </c>
      <c r="D552" s="463" t="s">
        <v>40</v>
      </c>
      <c r="E552" s="390">
        <v>32860</v>
      </c>
      <c r="F552" s="534"/>
      <c r="G552" s="371"/>
      <c r="H552" s="535">
        <f t="shared" si="70"/>
        <v>0</v>
      </c>
      <c r="I552" s="421">
        <f t="shared" si="71"/>
        <v>0</v>
      </c>
      <c r="J552" s="369"/>
      <c r="K552" s="369"/>
      <c r="L552" s="369"/>
      <c r="M552" s="369"/>
      <c r="N552" s="369"/>
      <c r="O552" s="338"/>
      <c r="P552" s="323"/>
    </row>
    <row r="553" spans="1:16">
      <c r="A553" s="323">
        <v>518</v>
      </c>
      <c r="B553" s="338"/>
      <c r="C553" s="635"/>
      <c r="D553" s="463" t="s">
        <v>42</v>
      </c>
      <c r="E553" s="390">
        <v>32305</v>
      </c>
      <c r="F553" s="534"/>
      <c r="G553" s="371"/>
      <c r="H553" s="535">
        <f t="shared" si="70"/>
        <v>0</v>
      </c>
      <c r="I553" s="421">
        <f t="shared" si="71"/>
        <v>0</v>
      </c>
      <c r="J553" s="369"/>
      <c r="K553" s="369"/>
      <c r="L553" s="369"/>
      <c r="M553" s="369"/>
      <c r="N553" s="369"/>
      <c r="O553" s="338"/>
      <c r="P553" s="323"/>
    </row>
    <row r="554" spans="1:16">
      <c r="A554" s="323">
        <v>519</v>
      </c>
      <c r="B554" s="338"/>
      <c r="C554" s="635"/>
      <c r="D554" s="463" t="s">
        <v>43</v>
      </c>
      <c r="E554" s="390">
        <v>31750</v>
      </c>
      <c r="F554" s="534"/>
      <c r="G554" s="371"/>
      <c r="H554" s="535">
        <f t="shared" si="70"/>
        <v>0</v>
      </c>
      <c r="I554" s="421">
        <f t="shared" si="71"/>
        <v>0</v>
      </c>
      <c r="J554" s="369"/>
      <c r="K554" s="369"/>
      <c r="L554" s="369"/>
      <c r="M554" s="369"/>
      <c r="N554" s="369"/>
      <c r="O554" s="338"/>
      <c r="P554" s="323"/>
    </row>
    <row r="555" spans="1:16">
      <c r="A555" s="323">
        <v>520</v>
      </c>
      <c r="B555" s="338"/>
      <c r="C555" s="635"/>
      <c r="D555" s="463" t="s">
        <v>45</v>
      </c>
      <c r="E555" s="390">
        <v>31195</v>
      </c>
      <c r="F555" s="534"/>
      <c r="G555" s="371"/>
      <c r="H555" s="535">
        <f t="shared" ref="H555:H567" si="72">IF(E555+(F555*E555+G555)=E555,0,G555+F555*E555)</f>
        <v>0</v>
      </c>
      <c r="I555" s="421">
        <f t="shared" ref="I555:I567" si="73">IF(E555+H555=E555,0,E555+H555)</f>
        <v>0</v>
      </c>
      <c r="J555" s="369"/>
      <c r="K555" s="369"/>
      <c r="L555" s="369"/>
      <c r="M555" s="369"/>
      <c r="N555" s="369"/>
      <c r="O555" s="338"/>
      <c r="P555" s="323"/>
    </row>
    <row r="556" spans="1:16">
      <c r="A556" s="323">
        <v>521</v>
      </c>
      <c r="B556" s="338"/>
      <c r="C556" s="635"/>
      <c r="D556" s="463" t="s">
        <v>46</v>
      </c>
      <c r="E556" s="390">
        <v>30640</v>
      </c>
      <c r="F556" s="534"/>
      <c r="G556" s="371"/>
      <c r="H556" s="535">
        <f t="shared" si="72"/>
        <v>0</v>
      </c>
      <c r="I556" s="421">
        <f t="shared" si="73"/>
        <v>0</v>
      </c>
      <c r="J556" s="369"/>
      <c r="K556" s="369"/>
      <c r="L556" s="369"/>
      <c r="M556" s="369"/>
      <c r="N556" s="369"/>
      <c r="O556" s="338"/>
      <c r="P556" s="323"/>
    </row>
    <row r="557" spans="1:16">
      <c r="A557" s="323">
        <v>522</v>
      </c>
      <c r="B557" s="338"/>
      <c r="C557" s="635"/>
      <c r="D557" s="463" t="s">
        <v>48</v>
      </c>
      <c r="E557" s="390">
        <v>30085</v>
      </c>
      <c r="F557" s="534"/>
      <c r="G557" s="371"/>
      <c r="H557" s="535">
        <f t="shared" si="72"/>
        <v>0</v>
      </c>
      <c r="I557" s="421">
        <f t="shared" si="73"/>
        <v>0</v>
      </c>
      <c r="J557" s="369"/>
      <c r="K557" s="369"/>
      <c r="L557" s="369"/>
      <c r="M557" s="369"/>
      <c r="N557" s="369"/>
      <c r="O557" s="338"/>
      <c r="P557" s="323"/>
    </row>
    <row r="558" spans="1:16">
      <c r="A558" s="323">
        <v>523</v>
      </c>
      <c r="B558" s="338"/>
      <c r="C558" s="635"/>
      <c r="D558" s="463" t="s">
        <v>49</v>
      </c>
      <c r="E558" s="390">
        <v>30085</v>
      </c>
      <c r="F558" s="534"/>
      <c r="G558" s="371"/>
      <c r="H558" s="535">
        <f t="shared" si="72"/>
        <v>0</v>
      </c>
      <c r="I558" s="421">
        <f t="shared" si="73"/>
        <v>0</v>
      </c>
      <c r="J558" s="369"/>
      <c r="K558" s="369"/>
      <c r="L558" s="369"/>
      <c r="M558" s="369"/>
      <c r="N558" s="369"/>
      <c r="O558" s="338"/>
      <c r="P558" s="323"/>
    </row>
    <row r="559" spans="1:16">
      <c r="A559" s="323">
        <v>524</v>
      </c>
      <c r="B559" s="338"/>
      <c r="C559" s="635"/>
      <c r="D559" s="463" t="s">
        <v>50</v>
      </c>
      <c r="E559" s="390">
        <v>28420</v>
      </c>
      <c r="F559" s="534"/>
      <c r="G559" s="371"/>
      <c r="H559" s="535">
        <f t="shared" si="72"/>
        <v>0</v>
      </c>
      <c r="I559" s="421">
        <f t="shared" si="73"/>
        <v>0</v>
      </c>
      <c r="J559" s="369"/>
      <c r="K559" s="369"/>
      <c r="L559" s="369"/>
      <c r="M559" s="369"/>
      <c r="N559" s="369"/>
      <c r="O559" s="338"/>
      <c r="P559" s="323"/>
    </row>
    <row r="560" spans="1:16">
      <c r="A560" s="323">
        <v>525</v>
      </c>
      <c r="B560" s="338"/>
      <c r="C560" s="672" t="s">
        <v>59</v>
      </c>
      <c r="D560" s="463" t="s">
        <v>48</v>
      </c>
      <c r="E560" s="390">
        <v>28975</v>
      </c>
      <c r="F560" s="534"/>
      <c r="G560" s="371"/>
      <c r="H560" s="535">
        <f t="shared" si="72"/>
        <v>0</v>
      </c>
      <c r="I560" s="421">
        <f t="shared" si="73"/>
        <v>0</v>
      </c>
      <c r="J560" s="369"/>
      <c r="K560" s="369"/>
      <c r="L560" s="369"/>
      <c r="M560" s="369"/>
      <c r="N560" s="369"/>
      <c r="O560" s="338"/>
      <c r="P560" s="323"/>
    </row>
    <row r="561" spans="1:16">
      <c r="A561" s="323">
        <v>526</v>
      </c>
      <c r="B561" s="338"/>
      <c r="C561" s="635"/>
      <c r="D561" s="463" t="s">
        <v>49</v>
      </c>
      <c r="E561" s="390">
        <v>28975</v>
      </c>
      <c r="F561" s="534"/>
      <c r="G561" s="371"/>
      <c r="H561" s="535">
        <f t="shared" si="72"/>
        <v>0</v>
      </c>
      <c r="I561" s="421">
        <f t="shared" si="73"/>
        <v>0</v>
      </c>
      <c r="J561" s="369"/>
      <c r="K561" s="369"/>
      <c r="L561" s="369"/>
      <c r="M561" s="369"/>
      <c r="N561" s="369"/>
      <c r="O561" s="338"/>
      <c r="P561" s="323"/>
    </row>
    <row r="562" spans="1:16">
      <c r="A562" s="323">
        <v>527</v>
      </c>
      <c r="B562" s="338"/>
      <c r="C562" s="635"/>
      <c r="D562" s="463" t="s">
        <v>50</v>
      </c>
      <c r="E562" s="390">
        <v>26755</v>
      </c>
      <c r="F562" s="534"/>
      <c r="G562" s="371"/>
      <c r="H562" s="535">
        <f t="shared" si="72"/>
        <v>0</v>
      </c>
      <c r="I562" s="421">
        <f t="shared" si="73"/>
        <v>0</v>
      </c>
      <c r="J562" s="369"/>
      <c r="K562" s="369"/>
      <c r="L562" s="369"/>
      <c r="M562" s="369"/>
      <c r="N562" s="369"/>
      <c r="O562" s="338"/>
      <c r="P562" s="323"/>
    </row>
    <row r="563" spans="1:16">
      <c r="A563" s="323">
        <v>528</v>
      </c>
      <c r="B563" s="338"/>
      <c r="C563" s="635"/>
      <c r="D563" s="463" t="s">
        <v>52</v>
      </c>
      <c r="E563" s="390">
        <v>25645</v>
      </c>
      <c r="F563" s="534"/>
      <c r="G563" s="371"/>
      <c r="H563" s="535">
        <f t="shared" si="72"/>
        <v>0</v>
      </c>
      <c r="I563" s="421">
        <f t="shared" si="73"/>
        <v>0</v>
      </c>
      <c r="J563" s="369"/>
      <c r="K563" s="369"/>
      <c r="L563" s="369"/>
      <c r="M563" s="369"/>
      <c r="N563" s="369"/>
      <c r="O563" s="338"/>
      <c r="P563" s="323"/>
    </row>
    <row r="564" spans="1:16">
      <c r="A564" s="323">
        <v>529</v>
      </c>
      <c r="B564" s="338"/>
      <c r="C564" s="635"/>
      <c r="D564" s="463" t="s">
        <v>53</v>
      </c>
      <c r="E564" s="390">
        <v>25090</v>
      </c>
      <c r="F564" s="534"/>
      <c r="G564" s="371"/>
      <c r="H564" s="535">
        <f t="shared" si="72"/>
        <v>0</v>
      </c>
      <c r="I564" s="421">
        <f t="shared" si="73"/>
        <v>0</v>
      </c>
      <c r="J564" s="369"/>
      <c r="K564" s="369"/>
      <c r="L564" s="369"/>
      <c r="M564" s="369"/>
      <c r="N564" s="369"/>
      <c r="O564" s="338"/>
      <c r="P564" s="323"/>
    </row>
    <row r="565" spans="1:16">
      <c r="A565" s="323">
        <v>530</v>
      </c>
      <c r="B565" s="338"/>
      <c r="C565" s="635"/>
      <c r="D565" s="463" t="s">
        <v>55</v>
      </c>
      <c r="E565" s="390">
        <v>24650</v>
      </c>
      <c r="F565" s="534"/>
      <c r="G565" s="371"/>
      <c r="H565" s="535">
        <f t="shared" si="72"/>
        <v>0</v>
      </c>
      <c r="I565" s="421">
        <f t="shared" si="73"/>
        <v>0</v>
      </c>
      <c r="J565" s="369"/>
      <c r="K565" s="369"/>
      <c r="L565" s="369"/>
      <c r="M565" s="369"/>
      <c r="N565" s="369"/>
      <c r="O565" s="338"/>
      <c r="P565" s="323"/>
    </row>
    <row r="566" spans="1:16">
      <c r="A566" s="323">
        <v>531</v>
      </c>
      <c r="B566" s="338"/>
      <c r="C566" s="672" t="s">
        <v>60</v>
      </c>
      <c r="D566" s="463" t="s">
        <v>49</v>
      </c>
      <c r="E566" s="390">
        <v>28880</v>
      </c>
      <c r="F566" s="534"/>
      <c r="G566" s="371"/>
      <c r="H566" s="535">
        <f t="shared" si="72"/>
        <v>0</v>
      </c>
      <c r="I566" s="421">
        <f t="shared" si="73"/>
        <v>0</v>
      </c>
      <c r="J566" s="369"/>
      <c r="K566" s="369"/>
      <c r="L566" s="369"/>
      <c r="M566" s="369"/>
      <c r="N566" s="369"/>
      <c r="O566" s="338"/>
      <c r="P566" s="323"/>
    </row>
    <row r="567" spans="1:16">
      <c r="A567" s="323">
        <v>532</v>
      </c>
      <c r="B567" s="338"/>
      <c r="C567" s="673"/>
      <c r="D567" s="463" t="s">
        <v>50</v>
      </c>
      <c r="E567" s="390">
        <v>26880</v>
      </c>
      <c r="F567" s="534"/>
      <c r="G567" s="371"/>
      <c r="H567" s="535">
        <f t="shared" si="72"/>
        <v>0</v>
      </c>
      <c r="I567" s="421">
        <f t="shared" si="73"/>
        <v>0</v>
      </c>
      <c r="J567" s="369"/>
      <c r="K567" s="369"/>
      <c r="L567" s="369"/>
      <c r="M567" s="369"/>
      <c r="N567" s="369"/>
      <c r="O567" s="338"/>
      <c r="P567" s="323"/>
    </row>
    <row r="568" spans="1:16">
      <c r="A568" s="323">
        <v>533</v>
      </c>
      <c r="B568" s="338"/>
      <c r="C568" s="673"/>
      <c r="D568" s="432" t="s">
        <v>52</v>
      </c>
      <c r="E568" s="434">
        <v>25730</v>
      </c>
      <c r="F568" s="534"/>
      <c r="G568" s="371"/>
      <c r="H568" s="535">
        <f>IF(E568+(F568*E568+G568)=E568,0,G568+F568*E568)</f>
        <v>0</v>
      </c>
      <c r="I568" s="421">
        <f>IF(E568+H568=E568,0,E568+H568)</f>
        <v>0</v>
      </c>
      <c r="J568" s="369"/>
      <c r="K568" s="369"/>
      <c r="L568" s="369"/>
      <c r="M568" s="369"/>
      <c r="N568" s="369"/>
      <c r="O568" s="338"/>
      <c r="P568" s="323"/>
    </row>
    <row r="569" spans="1:16">
      <c r="A569" s="323">
        <v>534</v>
      </c>
      <c r="B569" s="338"/>
      <c r="C569" s="673"/>
      <c r="D569" s="432" t="s">
        <v>53</v>
      </c>
      <c r="E569" s="432">
        <v>25000</v>
      </c>
      <c r="F569" s="534"/>
      <c r="G569" s="371"/>
      <c r="H569" s="535">
        <f t="shared" ref="H569:H575" si="74">IF(E569+(F569*E569+G569)=E569,0,G569+F569*E569)</f>
        <v>0</v>
      </c>
      <c r="I569" s="421">
        <f t="shared" ref="I569:I575" si="75">IF(E569+H569=E569,0,E569+H569)</f>
        <v>0</v>
      </c>
      <c r="J569" s="369"/>
      <c r="K569" s="369"/>
      <c r="L569" s="369"/>
      <c r="M569" s="369"/>
      <c r="N569" s="369"/>
      <c r="O569" s="338"/>
      <c r="P569" s="323"/>
    </row>
    <row r="570" spans="1:16">
      <c r="A570" s="323">
        <v>535</v>
      </c>
      <c r="B570" s="338"/>
      <c r="C570" s="673"/>
      <c r="D570" s="432" t="s">
        <v>55</v>
      </c>
      <c r="E570" s="432">
        <v>24180</v>
      </c>
      <c r="F570" s="534"/>
      <c r="G570" s="371"/>
      <c r="H570" s="535">
        <f t="shared" si="74"/>
        <v>0</v>
      </c>
      <c r="I570" s="421">
        <f t="shared" si="75"/>
        <v>0</v>
      </c>
      <c r="J570" s="369"/>
      <c r="K570" s="369"/>
      <c r="L570" s="369"/>
      <c r="M570" s="369"/>
      <c r="N570" s="369"/>
      <c r="O570" s="338"/>
      <c r="P570" s="323"/>
    </row>
    <row r="571" spans="1:16">
      <c r="A571" s="323">
        <v>536</v>
      </c>
      <c r="B571" s="338"/>
      <c r="C571" s="673"/>
      <c r="D571" s="674"/>
      <c r="E571" s="432">
        <v>23660</v>
      </c>
      <c r="F571" s="534"/>
      <c r="G571" s="371"/>
      <c r="H571" s="535">
        <f t="shared" si="74"/>
        <v>0</v>
      </c>
      <c r="I571" s="421">
        <f t="shared" si="75"/>
        <v>0</v>
      </c>
      <c r="J571" s="369"/>
      <c r="K571" s="369"/>
      <c r="L571" s="369"/>
      <c r="M571" s="369"/>
      <c r="N571" s="369"/>
      <c r="O571" s="338"/>
      <c r="P571" s="323"/>
    </row>
    <row r="572" spans="1:16">
      <c r="A572" s="323">
        <v>537</v>
      </c>
      <c r="B572" s="338"/>
      <c r="C572" s="673"/>
      <c r="D572" s="674"/>
      <c r="E572" s="432">
        <v>22610</v>
      </c>
      <c r="F572" s="534"/>
      <c r="G572" s="371"/>
      <c r="H572" s="535">
        <f t="shared" si="74"/>
        <v>0</v>
      </c>
      <c r="I572" s="421">
        <f t="shared" si="75"/>
        <v>0</v>
      </c>
      <c r="J572" s="369"/>
      <c r="K572" s="369"/>
      <c r="L572" s="369"/>
      <c r="M572" s="369"/>
      <c r="N572" s="369"/>
      <c r="O572" s="338"/>
      <c r="P572" s="323"/>
    </row>
    <row r="573" spans="1:16">
      <c r="A573" s="323">
        <v>538</v>
      </c>
      <c r="B573" s="338"/>
      <c r="C573" s="673"/>
      <c r="D573" s="674"/>
      <c r="E573" s="432">
        <v>2000</v>
      </c>
      <c r="F573" s="534"/>
      <c r="G573" s="371"/>
      <c r="H573" s="535">
        <f t="shared" si="74"/>
        <v>0</v>
      </c>
      <c r="I573" s="421">
        <f t="shared" si="75"/>
        <v>0</v>
      </c>
      <c r="J573" s="675"/>
      <c r="K573" s="676"/>
      <c r="L573" s="676"/>
      <c r="M573" s="677"/>
      <c r="N573" s="369"/>
      <c r="O573" s="338"/>
      <c r="P573" s="323"/>
    </row>
    <row r="574" spans="1:16">
      <c r="A574" s="323">
        <v>539</v>
      </c>
      <c r="B574" s="338"/>
      <c r="C574" s="673"/>
      <c r="D574" s="674"/>
      <c r="E574" s="432">
        <v>1500</v>
      </c>
      <c r="F574" s="534"/>
      <c r="G574" s="371"/>
      <c r="H574" s="535">
        <f t="shared" si="74"/>
        <v>0</v>
      </c>
      <c r="I574" s="421">
        <f t="shared" si="75"/>
        <v>0</v>
      </c>
      <c r="J574" s="675"/>
      <c r="K574" s="676"/>
      <c r="L574" s="676"/>
      <c r="M574" s="677"/>
      <c r="N574" s="369"/>
      <c r="O574" s="338"/>
      <c r="P574" s="323"/>
    </row>
    <row r="575" spans="1:16">
      <c r="A575" s="323">
        <v>540</v>
      </c>
      <c r="B575" s="338"/>
      <c r="C575" s="673"/>
      <c r="D575" s="674"/>
      <c r="E575" s="432">
        <v>1500</v>
      </c>
      <c r="F575" s="534"/>
      <c r="G575" s="371"/>
      <c r="H575" s="535">
        <f t="shared" si="74"/>
        <v>0</v>
      </c>
      <c r="I575" s="421">
        <f t="shared" si="75"/>
        <v>0</v>
      </c>
      <c r="J575" s="675"/>
      <c r="K575" s="676"/>
      <c r="L575" s="676"/>
      <c r="M575" s="677"/>
      <c r="N575" s="369"/>
      <c r="O575" s="338"/>
      <c r="P575" s="323"/>
    </row>
    <row r="576" spans="1:16">
      <c r="B576" s="323"/>
      <c r="C576" s="323"/>
      <c r="D576" s="333"/>
      <c r="E576" s="333"/>
      <c r="F576" s="333"/>
      <c r="G576" s="333"/>
      <c r="H576" s="333"/>
      <c r="I576" s="333"/>
      <c r="J576" s="333"/>
      <c r="K576" s="333"/>
      <c r="L576" s="333"/>
      <c r="M576" s="333"/>
      <c r="N576" s="333"/>
      <c r="O576" s="323"/>
      <c r="P576" s="323"/>
    </row>
    <row r="577" spans="1:16">
      <c r="A577" s="329"/>
      <c r="B577" s="338"/>
      <c r="C577" s="678"/>
      <c r="D577" s="369"/>
      <c r="E577" s="679"/>
      <c r="F577" s="679"/>
      <c r="G577" s="679"/>
      <c r="H577" s="680"/>
      <c r="I577" s="357"/>
      <c r="J577" s="675"/>
      <c r="K577" s="676"/>
      <c r="L577" s="676"/>
      <c r="M577" s="677"/>
      <c r="N577" s="369"/>
      <c r="O577" s="338"/>
      <c r="P577" s="681"/>
    </row>
    <row r="578" spans="1:16">
      <c r="A578" s="329"/>
      <c r="B578" s="338"/>
      <c r="C578" s="678"/>
      <c r="D578" s="369"/>
      <c r="E578" s="679"/>
      <c r="F578" s="679"/>
      <c r="G578" s="679"/>
      <c r="H578" s="680"/>
      <c r="I578" s="357"/>
      <c r="J578" s="675"/>
      <c r="K578" s="676"/>
      <c r="L578" s="676"/>
      <c r="M578" s="677"/>
      <c r="N578" s="369"/>
      <c r="O578" s="338"/>
      <c r="P578" s="681"/>
    </row>
    <row r="579" spans="1:16">
      <c r="A579" s="329"/>
      <c r="B579" s="338"/>
      <c r="C579" s="678"/>
      <c r="D579" s="369"/>
      <c r="E579" s="679"/>
      <c r="F579" s="679"/>
      <c r="G579" s="679"/>
      <c r="H579" s="680"/>
      <c r="I579" s="357"/>
      <c r="J579" s="675"/>
      <c r="K579" s="676"/>
      <c r="L579" s="676"/>
      <c r="M579" s="677"/>
      <c r="N579" s="369"/>
      <c r="O579" s="338"/>
      <c r="P579" s="681"/>
    </row>
    <row r="580" spans="1:16">
      <c r="A580" s="329"/>
      <c r="B580" s="338"/>
      <c r="C580" s="678"/>
      <c r="D580" s="369"/>
      <c r="E580" s="679"/>
      <c r="F580" s="679"/>
      <c r="G580" s="679"/>
      <c r="H580" s="680"/>
      <c r="I580" s="357"/>
      <c r="J580" s="675"/>
      <c r="K580" s="676"/>
      <c r="L580" s="676"/>
      <c r="M580" s="677"/>
      <c r="N580" s="369"/>
      <c r="O580" s="338"/>
      <c r="P580" s="681"/>
    </row>
    <row r="581" spans="1:16">
      <c r="A581" s="329"/>
      <c r="B581" s="338"/>
      <c r="C581" s="678"/>
      <c r="D581" s="369"/>
      <c r="E581" s="679"/>
      <c r="F581" s="679"/>
      <c r="G581" s="679"/>
      <c r="H581" s="680"/>
      <c r="I581" s="357"/>
      <c r="J581" s="675"/>
      <c r="K581" s="676"/>
      <c r="L581" s="676"/>
      <c r="M581" s="677"/>
      <c r="N581" s="369"/>
      <c r="O581" s="338"/>
      <c r="P581" s="681"/>
    </row>
    <row r="582" spans="1:16">
      <c r="A582" s="329"/>
      <c r="B582" s="682"/>
      <c r="C582" s="682" t="s">
        <v>61</v>
      </c>
      <c r="D582" s="683"/>
      <c r="E582" s="683"/>
      <c r="F582" s="465"/>
      <c r="G582" s="549"/>
      <c r="H582" s="549"/>
      <c r="I582" s="684"/>
      <c r="J582" s="357"/>
      <c r="K582" s="676"/>
      <c r="L582" s="676"/>
      <c r="M582" s="677"/>
      <c r="N582" s="369"/>
      <c r="O582" s="338"/>
      <c r="P582" s="681"/>
    </row>
    <row r="583" spans="1:16">
      <c r="A583" s="329"/>
      <c r="B583" s="685" t="s">
        <v>62</v>
      </c>
      <c r="C583" s="686"/>
      <c r="D583" s="638"/>
      <c r="E583" s="683"/>
      <c r="F583" s="683"/>
      <c r="G583" s="683"/>
      <c r="H583" s="683"/>
      <c r="I583" s="357"/>
      <c r="J583" s="357"/>
      <c r="K583" s="676"/>
      <c r="L583" s="676"/>
      <c r="M583" s="677"/>
      <c r="N583" s="369"/>
      <c r="O583" s="338"/>
      <c r="P583" s="681"/>
    </row>
    <row r="584" spans="1:16">
      <c r="A584" s="329"/>
      <c r="B584" s="635"/>
      <c r="C584" s="687"/>
      <c r="D584" s="636"/>
      <c r="E584" s="462"/>
      <c r="F584" s="462"/>
      <c r="G584" s="462"/>
      <c r="H584" s="688"/>
      <c r="I584" s="357"/>
      <c r="J584" s="675"/>
      <c r="K584" s="676"/>
      <c r="L584" s="676"/>
      <c r="M584" s="677"/>
      <c r="N584" s="369"/>
      <c r="O584" s="338"/>
      <c r="P584" s="681"/>
    </row>
    <row r="585" spans="1:16">
      <c r="A585" s="329"/>
      <c r="B585" s="635"/>
      <c r="C585" s="687"/>
      <c r="D585" s="636"/>
      <c r="E585" s="462"/>
      <c r="F585" s="462"/>
      <c r="G585" s="462"/>
      <c r="H585" s="688"/>
      <c r="I585" s="357"/>
      <c r="J585" s="675"/>
      <c r="K585" s="676"/>
      <c r="L585" s="676"/>
      <c r="M585" s="677"/>
      <c r="N585" s="369"/>
      <c r="O585" s="338"/>
      <c r="P585" s="681"/>
    </row>
    <row r="586" spans="1:16">
      <c r="A586" s="329"/>
      <c r="B586" s="635"/>
      <c r="C586" s="687"/>
      <c r="D586" s="636"/>
      <c r="E586" s="462"/>
      <c r="F586" s="462"/>
      <c r="G586" s="462"/>
      <c r="H586" s="688"/>
      <c r="I586" s="357"/>
      <c r="J586" s="675"/>
      <c r="K586" s="676"/>
      <c r="L586" s="676"/>
      <c r="M586" s="677"/>
      <c r="N586" s="369"/>
      <c r="O586" s="338"/>
      <c r="P586" s="681"/>
    </row>
    <row r="587" spans="1:16">
      <c r="A587" s="329"/>
      <c r="B587" s="635"/>
      <c r="C587" s="687"/>
      <c r="D587" s="636"/>
      <c r="E587" s="462"/>
      <c r="F587" s="462"/>
      <c r="G587" s="462"/>
      <c r="H587" s="688"/>
      <c r="I587" s="357"/>
      <c r="J587" s="675"/>
      <c r="K587" s="676"/>
      <c r="L587" s="676"/>
      <c r="M587" s="677"/>
      <c r="N587" s="369"/>
      <c r="O587" s="338"/>
      <c r="P587" s="681"/>
    </row>
    <row r="588" spans="1:16">
      <c r="A588" s="329"/>
      <c r="B588" s="338"/>
      <c r="C588" s="678"/>
      <c r="D588" s="369"/>
      <c r="E588" s="679"/>
      <c r="F588" s="679"/>
      <c r="G588" s="679"/>
      <c r="H588" s="689"/>
      <c r="I588" s="357"/>
      <c r="J588" s="675"/>
      <c r="K588" s="676"/>
      <c r="L588" s="676"/>
      <c r="M588" s="677"/>
      <c r="N588" s="369"/>
      <c r="O588" s="338"/>
      <c r="P588" s="681"/>
    </row>
    <row r="589" spans="1:16">
      <c r="A589" s="329"/>
      <c r="B589" s="338"/>
      <c r="C589" s="678"/>
      <c r="D589" s="369"/>
      <c r="E589" s="679"/>
      <c r="F589" s="679"/>
      <c r="G589" s="679"/>
      <c r="H589" s="680"/>
      <c r="I589" s="357"/>
      <c r="J589" s="675"/>
      <c r="K589" s="676"/>
      <c r="L589" s="676"/>
      <c r="M589" s="677"/>
      <c r="N589" s="369"/>
      <c r="O589" s="338"/>
      <c r="P589" s="681"/>
    </row>
    <row r="590" spans="1:16">
      <c r="A590" s="329"/>
      <c r="B590" s="338"/>
      <c r="C590" s="678"/>
      <c r="D590" s="369"/>
      <c r="E590" s="679"/>
      <c r="F590" s="679"/>
      <c r="G590" s="679"/>
      <c r="H590" s="680"/>
      <c r="I590" s="357"/>
      <c r="J590" s="675"/>
      <c r="K590" s="676"/>
      <c r="L590" s="676"/>
      <c r="M590" s="677"/>
      <c r="N590" s="369"/>
      <c r="O590" s="338"/>
      <c r="P590" s="681"/>
    </row>
    <row r="591" spans="1:16">
      <c r="A591" s="329"/>
      <c r="B591" s="338"/>
      <c r="C591" s="678"/>
      <c r="D591" s="369"/>
      <c r="E591" s="679"/>
      <c r="F591" s="679"/>
      <c r="G591" s="679"/>
      <c r="H591" s="680"/>
      <c r="I591" s="357"/>
      <c r="J591" s="675"/>
      <c r="K591" s="676"/>
      <c r="L591" s="676"/>
      <c r="M591" s="677"/>
      <c r="N591" s="369"/>
      <c r="O591" s="338"/>
      <c r="P591" s="681"/>
    </row>
    <row r="592" spans="1:16">
      <c r="A592" s="329"/>
      <c r="B592" s="338"/>
      <c r="C592" s="678"/>
      <c r="D592" s="369"/>
      <c r="E592" s="679"/>
      <c r="F592" s="679"/>
      <c r="G592" s="679"/>
      <c r="H592" s="680"/>
      <c r="I592" s="357"/>
      <c r="J592" s="675"/>
      <c r="K592" s="676"/>
      <c r="L592" s="676"/>
      <c r="M592" s="677"/>
      <c r="N592" s="369"/>
      <c r="O592" s="338"/>
      <c r="P592" s="681"/>
    </row>
    <row r="593" spans="1:16">
      <c r="A593" s="329"/>
      <c r="B593" s="338"/>
      <c r="C593" s="678"/>
      <c r="D593" s="369"/>
      <c r="E593" s="679"/>
      <c r="F593" s="679"/>
      <c r="G593" s="679"/>
      <c r="H593" s="680"/>
      <c r="I593" s="357"/>
      <c r="J593" s="675"/>
      <c r="K593" s="676"/>
      <c r="L593" s="676"/>
      <c r="M593" s="677"/>
      <c r="N593" s="369"/>
      <c r="O593" s="338"/>
      <c r="P593" s="681"/>
    </row>
    <row r="594" spans="1:16">
      <c r="A594" s="329"/>
      <c r="B594" s="338"/>
      <c r="C594" s="678"/>
      <c r="D594" s="369"/>
      <c r="E594" s="679"/>
      <c r="F594" s="679"/>
      <c r="G594" s="679"/>
      <c r="H594" s="680"/>
      <c r="I594" s="357"/>
      <c r="J594" s="675"/>
      <c r="K594" s="676"/>
      <c r="L594" s="676"/>
      <c r="M594" s="677"/>
      <c r="N594" s="369"/>
      <c r="O594" s="338"/>
      <c r="P594" s="681"/>
    </row>
    <row r="595" spans="1:16">
      <c r="A595" s="329"/>
      <c r="B595" s="338"/>
      <c r="C595" s="678"/>
      <c r="D595" s="369"/>
      <c r="E595" s="679"/>
      <c r="F595" s="679"/>
      <c r="G595" s="679"/>
      <c r="H595" s="680"/>
      <c r="I595" s="357"/>
      <c r="J595" s="675"/>
      <c r="K595" s="676"/>
      <c r="L595" s="676"/>
      <c r="M595" s="677"/>
      <c r="N595" s="369"/>
      <c r="O595" s="338"/>
      <c r="P595" s="681"/>
    </row>
    <row r="596" spans="1:16">
      <c r="A596" s="329"/>
      <c r="B596" s="338"/>
      <c r="C596" s="678"/>
      <c r="D596" s="369"/>
      <c r="E596" s="679"/>
      <c r="F596" s="679"/>
      <c r="G596" s="679"/>
      <c r="H596" s="680"/>
      <c r="I596" s="357"/>
      <c r="J596" s="675"/>
      <c r="K596" s="676"/>
      <c r="L596" s="676"/>
      <c r="M596" s="677"/>
      <c r="N596" s="369"/>
      <c r="O596" s="338"/>
      <c r="P596" s="681"/>
    </row>
    <row r="597" spans="1:16">
      <c r="A597" s="329"/>
      <c r="B597" s="338"/>
      <c r="C597" s="678"/>
      <c r="D597" s="369"/>
      <c r="E597" s="679"/>
      <c r="F597" s="679"/>
      <c r="G597" s="679"/>
      <c r="H597" s="680"/>
      <c r="I597" s="357"/>
      <c r="J597" s="675"/>
      <c r="K597" s="676"/>
      <c r="L597" s="676"/>
      <c r="M597" s="677"/>
      <c r="N597" s="369"/>
      <c r="O597" s="338"/>
      <c r="P597" s="681"/>
    </row>
    <row r="598" spans="1:16">
      <c r="A598" s="329"/>
      <c r="B598" s="338"/>
      <c r="C598" s="678"/>
      <c r="D598" s="369"/>
      <c r="E598" s="679"/>
      <c r="F598" s="679"/>
      <c r="G598" s="679"/>
      <c r="H598" s="680"/>
      <c r="I598" s="357"/>
      <c r="J598" s="675"/>
      <c r="K598" s="676"/>
      <c r="L598" s="676"/>
      <c r="M598" s="677"/>
      <c r="N598" s="369"/>
      <c r="O598" s="338"/>
      <c r="P598" s="681"/>
    </row>
    <row r="599" spans="1:16">
      <c r="A599" s="329"/>
      <c r="B599" s="338"/>
      <c r="C599" s="678"/>
      <c r="D599" s="369"/>
      <c r="E599" s="679"/>
      <c r="F599" s="679"/>
      <c r="G599" s="679"/>
      <c r="H599" s="680"/>
      <c r="I599" s="357"/>
      <c r="J599" s="675"/>
      <c r="K599" s="676"/>
      <c r="L599" s="676"/>
      <c r="M599" s="677"/>
      <c r="N599" s="369"/>
      <c r="O599" s="338"/>
      <c r="P599" s="681"/>
    </row>
    <row r="600" spans="1:16">
      <c r="A600" s="329"/>
      <c r="B600" s="338"/>
      <c r="C600" s="678"/>
      <c r="D600" s="369"/>
      <c r="E600" s="679"/>
      <c r="F600" s="679"/>
      <c r="G600" s="679"/>
      <c r="H600" s="680"/>
      <c r="I600" s="357"/>
      <c r="J600" s="675"/>
      <c r="K600" s="676"/>
      <c r="L600" s="676"/>
      <c r="M600" s="677"/>
      <c r="N600" s="369"/>
      <c r="O600" s="338"/>
      <c r="P600" s="681"/>
    </row>
    <row r="601" spans="1:16">
      <c r="A601" s="329"/>
      <c r="B601" s="338"/>
      <c r="C601" s="678"/>
      <c r="D601" s="369"/>
      <c r="E601" s="679"/>
      <c r="F601" s="679"/>
      <c r="G601" s="679"/>
      <c r="H601" s="680"/>
      <c r="I601" s="357"/>
      <c r="J601" s="675"/>
      <c r="K601" s="676"/>
      <c r="L601" s="676"/>
      <c r="M601" s="677"/>
      <c r="N601" s="369"/>
      <c r="O601" s="338"/>
      <c r="P601" s="681"/>
    </row>
    <row r="602" spans="1:16">
      <c r="A602" s="329"/>
      <c r="B602" s="338"/>
      <c r="C602" s="678"/>
      <c r="D602" s="369"/>
      <c r="E602" s="679"/>
      <c r="F602" s="679"/>
      <c r="G602" s="679"/>
      <c r="H602" s="680"/>
      <c r="I602" s="357"/>
      <c r="J602" s="675"/>
      <c r="K602" s="676"/>
      <c r="L602" s="676"/>
      <c r="M602" s="677"/>
      <c r="N602" s="369"/>
      <c r="O602" s="338"/>
      <c r="P602" s="681"/>
    </row>
    <row r="603" spans="1:16">
      <c r="A603" s="329"/>
      <c r="B603" s="338"/>
      <c r="C603" s="678"/>
      <c r="D603" s="369"/>
      <c r="E603" s="679"/>
      <c r="F603" s="679"/>
      <c r="G603" s="679"/>
      <c r="H603" s="680"/>
      <c r="I603" s="357"/>
      <c r="J603" s="675"/>
      <c r="K603" s="676"/>
      <c r="L603" s="676"/>
      <c r="M603" s="677"/>
      <c r="N603" s="369"/>
      <c r="O603" s="338"/>
      <c r="P603" s="681"/>
    </row>
    <row r="604" spans="1:16">
      <c r="A604" s="329"/>
      <c r="B604" s="338"/>
      <c r="C604" s="678"/>
      <c r="D604" s="369"/>
      <c r="E604" s="679"/>
      <c r="F604" s="679"/>
      <c r="G604" s="679"/>
      <c r="H604" s="680"/>
      <c r="I604" s="357"/>
      <c r="J604" s="675"/>
      <c r="K604" s="676"/>
      <c r="L604" s="676"/>
      <c r="M604" s="677"/>
      <c r="N604" s="369"/>
      <c r="O604" s="338"/>
      <c r="P604" s="681"/>
    </row>
    <row r="605" spans="1:16">
      <c r="A605" s="329"/>
      <c r="B605" s="338"/>
      <c r="C605" s="678"/>
      <c r="D605" s="369"/>
      <c r="E605" s="679"/>
      <c r="F605" s="679"/>
      <c r="G605" s="679"/>
      <c r="H605" s="680"/>
      <c r="I605" s="357"/>
      <c r="J605" s="675"/>
      <c r="K605" s="676"/>
      <c r="L605" s="676"/>
      <c r="M605" s="677"/>
      <c r="N605" s="369"/>
      <c r="O605" s="338"/>
      <c r="P605" s="681"/>
    </row>
    <row r="606" spans="1:16">
      <c r="A606" s="329"/>
      <c r="B606" s="338"/>
      <c r="C606" s="678"/>
      <c r="D606" s="369"/>
      <c r="E606" s="679"/>
      <c r="F606" s="679"/>
      <c r="G606" s="679"/>
      <c r="H606" s="680"/>
      <c r="I606" s="357"/>
      <c r="J606" s="675"/>
      <c r="K606" s="676"/>
      <c r="L606" s="676"/>
      <c r="M606" s="677"/>
      <c r="N606" s="369"/>
      <c r="O606" s="338"/>
      <c r="P606" s="681"/>
    </row>
    <row r="607" spans="1:16">
      <c r="A607" s="329"/>
      <c r="B607" s="338"/>
      <c r="C607" s="678"/>
      <c r="D607" s="369"/>
      <c r="E607" s="679"/>
      <c r="F607" s="679"/>
      <c r="G607" s="679"/>
      <c r="H607" s="680"/>
      <c r="I607" s="357"/>
      <c r="J607" s="675"/>
      <c r="K607" s="676"/>
      <c r="L607" s="676"/>
      <c r="M607" s="677"/>
      <c r="N607" s="369"/>
      <c r="O607" s="338"/>
      <c r="P607" s="681"/>
    </row>
    <row r="608" spans="1:16">
      <c r="A608" s="329"/>
      <c r="B608" s="338"/>
      <c r="C608" s="678"/>
      <c r="D608" s="369"/>
      <c r="E608" s="679"/>
      <c r="F608" s="679"/>
      <c r="G608" s="679"/>
      <c r="H608" s="680"/>
      <c r="I608" s="357"/>
      <c r="J608" s="675"/>
      <c r="K608" s="676"/>
      <c r="L608" s="676"/>
      <c r="M608" s="677"/>
      <c r="N608" s="369"/>
      <c r="O608" s="338"/>
      <c r="P608" s="681"/>
    </row>
    <row r="609" spans="1:16">
      <c r="A609" s="329"/>
      <c r="B609" s="338"/>
      <c r="C609" s="678"/>
      <c r="D609" s="369"/>
      <c r="E609" s="679"/>
      <c r="F609" s="679"/>
      <c r="G609" s="679"/>
      <c r="H609" s="680"/>
      <c r="I609" s="357"/>
      <c r="J609" s="675"/>
      <c r="K609" s="676"/>
      <c r="L609" s="676"/>
      <c r="M609" s="677"/>
      <c r="N609" s="369"/>
      <c r="O609" s="338"/>
      <c r="P609" s="681"/>
    </row>
    <row r="610" spans="1:16">
      <c r="A610" s="329"/>
      <c r="B610" s="338"/>
      <c r="C610" s="678"/>
      <c r="D610" s="369"/>
      <c r="E610" s="679"/>
      <c r="F610" s="679"/>
      <c r="G610" s="679"/>
      <c r="H610" s="680"/>
      <c r="I610" s="357"/>
      <c r="J610" s="675"/>
      <c r="K610" s="676"/>
      <c r="L610" s="676"/>
      <c r="M610" s="677"/>
      <c r="N610" s="369"/>
      <c r="O610" s="338"/>
      <c r="P610" s="681"/>
    </row>
    <row r="611" spans="1:16">
      <c r="A611" s="329"/>
      <c r="B611" s="338"/>
      <c r="C611" s="678"/>
      <c r="D611" s="369"/>
      <c r="E611" s="679"/>
      <c r="F611" s="679"/>
      <c r="G611" s="679"/>
      <c r="H611" s="680"/>
      <c r="I611" s="357"/>
      <c r="J611" s="675"/>
      <c r="K611" s="676"/>
      <c r="L611" s="676"/>
      <c r="M611" s="677"/>
      <c r="N611" s="369"/>
      <c r="O611" s="338"/>
      <c r="P611" s="681"/>
    </row>
    <row r="612" spans="1:16">
      <c r="A612" s="329"/>
      <c r="B612" s="338"/>
      <c r="C612" s="678"/>
      <c r="D612" s="369"/>
      <c r="E612" s="679"/>
      <c r="F612" s="679"/>
      <c r="G612" s="679"/>
      <c r="H612" s="680"/>
      <c r="I612" s="357"/>
      <c r="J612" s="675"/>
      <c r="K612" s="676"/>
      <c r="L612" s="676"/>
      <c r="M612" s="677"/>
      <c r="N612" s="369"/>
      <c r="O612" s="338"/>
      <c r="P612" s="681"/>
    </row>
    <row r="613" spans="1:16">
      <c r="A613" s="329"/>
      <c r="B613" s="338"/>
      <c r="C613" s="678"/>
      <c r="D613" s="369"/>
      <c r="E613" s="679"/>
      <c r="F613" s="679"/>
      <c r="G613" s="679"/>
      <c r="H613" s="680"/>
      <c r="I613" s="357"/>
      <c r="J613" s="675"/>
      <c r="K613" s="676"/>
      <c r="L613" s="676"/>
      <c r="M613" s="677"/>
      <c r="N613" s="369"/>
      <c r="O613" s="338"/>
      <c r="P613" s="681"/>
    </row>
    <row r="614" spans="1:16">
      <c r="A614" s="329"/>
      <c r="B614" s="338"/>
      <c r="C614" s="678"/>
      <c r="D614" s="369"/>
      <c r="E614" s="679"/>
      <c r="F614" s="679"/>
      <c r="G614" s="679"/>
      <c r="H614" s="680"/>
      <c r="I614" s="357"/>
      <c r="J614" s="675"/>
      <c r="K614" s="676"/>
      <c r="L614" s="676"/>
      <c r="M614" s="677"/>
      <c r="N614" s="369"/>
      <c r="O614" s="338"/>
      <c r="P614" s="681"/>
    </row>
    <row r="615" spans="1:16">
      <c r="A615" s="329"/>
      <c r="B615" s="338"/>
      <c r="C615" s="678"/>
      <c r="D615" s="369"/>
      <c r="E615" s="679"/>
      <c r="F615" s="679"/>
      <c r="G615" s="679"/>
      <c r="H615" s="680"/>
      <c r="I615" s="357"/>
      <c r="J615" s="675"/>
      <c r="K615" s="676"/>
      <c r="L615" s="676"/>
      <c r="M615" s="677"/>
      <c r="N615" s="369"/>
      <c r="O615" s="338"/>
      <c r="P615" s="681"/>
    </row>
    <row r="616" spans="1:16">
      <c r="A616" s="329"/>
      <c r="B616" s="338"/>
      <c r="C616" s="678"/>
      <c r="D616" s="369"/>
      <c r="E616" s="679"/>
      <c r="F616" s="679"/>
      <c r="G616" s="679"/>
      <c r="H616" s="680"/>
      <c r="I616" s="357"/>
      <c r="J616" s="675"/>
      <c r="K616" s="676"/>
      <c r="L616" s="676"/>
      <c r="M616" s="677"/>
      <c r="N616" s="369"/>
      <c r="O616" s="338"/>
      <c r="P616" s="681"/>
    </row>
    <row r="617" spans="1:16">
      <c r="A617" s="329"/>
      <c r="B617" s="338"/>
      <c r="C617" s="678"/>
      <c r="D617" s="369"/>
      <c r="E617" s="679"/>
      <c r="F617" s="679"/>
      <c r="G617" s="679"/>
      <c r="H617" s="680"/>
      <c r="I617" s="357"/>
      <c r="J617" s="675"/>
      <c r="K617" s="676"/>
      <c r="L617" s="676"/>
      <c r="M617" s="677"/>
      <c r="N617" s="369"/>
      <c r="O617" s="338"/>
      <c r="P617" s="681"/>
    </row>
    <row r="618" spans="1:16">
      <c r="A618" s="329"/>
      <c r="B618" s="338"/>
      <c r="C618" s="678"/>
      <c r="D618" s="369"/>
      <c r="E618" s="679"/>
      <c r="F618" s="679"/>
      <c r="G618" s="679"/>
      <c r="H618" s="680"/>
      <c r="I618" s="357"/>
      <c r="J618" s="675"/>
      <c r="K618" s="676"/>
      <c r="L618" s="676"/>
      <c r="M618" s="677"/>
      <c r="N618" s="369"/>
      <c r="O618" s="338"/>
      <c r="P618" s="681"/>
    </row>
    <row r="619" spans="1:16">
      <c r="A619" s="329"/>
      <c r="B619" s="338"/>
      <c r="C619" s="678"/>
      <c r="D619" s="369"/>
      <c r="E619" s="679"/>
      <c r="F619" s="679"/>
      <c r="G619" s="679"/>
      <c r="H619" s="680"/>
      <c r="I619" s="357"/>
      <c r="J619" s="675"/>
      <c r="K619" s="676"/>
      <c r="L619" s="676"/>
      <c r="M619" s="677"/>
      <c r="N619" s="369"/>
      <c r="O619" s="338"/>
      <c r="P619" s="681"/>
    </row>
    <row r="620" spans="1:16">
      <c r="A620" s="329"/>
      <c r="B620" s="338"/>
      <c r="C620" s="678"/>
      <c r="D620" s="369"/>
      <c r="E620" s="679"/>
      <c r="F620" s="679"/>
      <c r="G620" s="679"/>
      <c r="H620" s="680"/>
      <c r="I620" s="357"/>
      <c r="J620" s="675"/>
      <c r="K620" s="676"/>
      <c r="L620" s="676"/>
      <c r="M620" s="677"/>
      <c r="N620" s="369"/>
      <c r="O620" s="338"/>
      <c r="P620" s="681"/>
    </row>
    <row r="621" spans="1:16">
      <c r="A621" s="329"/>
      <c r="B621" s="338"/>
      <c r="C621" s="678"/>
      <c r="D621" s="369"/>
      <c r="E621" s="679"/>
      <c r="F621" s="679"/>
      <c r="G621" s="679"/>
      <c r="H621" s="680"/>
      <c r="I621" s="357"/>
      <c r="J621" s="675"/>
      <c r="K621" s="676"/>
      <c r="L621" s="676"/>
      <c r="M621" s="677"/>
      <c r="N621" s="369"/>
      <c r="O621" s="338"/>
      <c r="P621" s="681"/>
    </row>
    <row r="622" spans="1:16">
      <c r="A622" s="329"/>
      <c r="B622" s="338"/>
      <c r="C622" s="678"/>
      <c r="D622" s="369"/>
      <c r="E622" s="679"/>
      <c r="F622" s="679"/>
      <c r="G622" s="679"/>
      <c r="H622" s="680"/>
      <c r="I622" s="357"/>
      <c r="J622" s="675"/>
      <c r="K622" s="676"/>
      <c r="L622" s="676"/>
      <c r="M622" s="677"/>
      <c r="N622" s="369"/>
      <c r="O622" s="338"/>
      <c r="P622" s="681"/>
    </row>
    <row r="623" spans="1:16">
      <c r="A623" s="329"/>
      <c r="B623" s="338"/>
      <c r="C623" s="678"/>
      <c r="D623" s="369"/>
      <c r="E623" s="679"/>
      <c r="F623" s="679"/>
      <c r="G623" s="679"/>
      <c r="H623" s="680"/>
      <c r="I623" s="357"/>
      <c r="J623" s="675"/>
      <c r="K623" s="676"/>
      <c r="L623" s="676"/>
      <c r="M623" s="677"/>
      <c r="N623" s="369"/>
      <c r="O623" s="338"/>
      <c r="P623" s="681"/>
    </row>
    <row r="624" spans="1:16">
      <c r="A624" s="329"/>
      <c r="B624" s="338"/>
      <c r="C624" s="678"/>
      <c r="D624" s="369"/>
      <c r="E624" s="679"/>
      <c r="F624" s="679"/>
      <c r="G624" s="679"/>
      <c r="H624" s="680"/>
      <c r="I624" s="357"/>
      <c r="J624" s="675"/>
      <c r="K624" s="676"/>
      <c r="L624" s="676"/>
      <c r="M624" s="677"/>
      <c r="N624" s="369"/>
      <c r="O624" s="338"/>
      <c r="P624" s="681"/>
    </row>
    <row r="625" spans="1:16">
      <c r="A625" s="329"/>
      <c r="B625" s="338"/>
      <c r="C625" s="678"/>
      <c r="D625" s="369"/>
      <c r="E625" s="679"/>
      <c r="F625" s="679"/>
      <c r="G625" s="679"/>
      <c r="H625" s="680"/>
      <c r="I625" s="357"/>
      <c r="J625" s="675"/>
      <c r="K625" s="676"/>
      <c r="L625" s="676"/>
      <c r="M625" s="677"/>
      <c r="N625" s="369"/>
      <c r="O625" s="338"/>
      <c r="P625" s="681"/>
    </row>
    <row r="626" spans="1:16">
      <c r="A626" s="329"/>
      <c r="B626" s="338"/>
      <c r="C626" s="678"/>
      <c r="D626" s="369"/>
      <c r="E626" s="679"/>
      <c r="F626" s="679"/>
      <c r="G626" s="679"/>
      <c r="H626" s="680"/>
      <c r="I626" s="357"/>
      <c r="J626" s="675"/>
      <c r="K626" s="676"/>
      <c r="L626" s="676"/>
      <c r="M626" s="677"/>
      <c r="N626" s="369"/>
      <c r="O626" s="338"/>
      <c r="P626" s="681"/>
    </row>
    <row r="627" spans="1:16">
      <c r="A627" s="329"/>
      <c r="B627" s="338"/>
      <c r="C627" s="678"/>
      <c r="D627" s="369"/>
      <c r="E627" s="679"/>
      <c r="F627" s="679"/>
      <c r="G627" s="679"/>
      <c r="H627" s="680"/>
      <c r="I627" s="357"/>
      <c r="J627" s="675"/>
      <c r="K627" s="676"/>
      <c r="L627" s="676"/>
      <c r="M627" s="677"/>
      <c r="N627" s="369"/>
      <c r="O627" s="338"/>
      <c r="P627" s="681"/>
    </row>
    <row r="628" spans="1:16">
      <c r="A628" s="329"/>
      <c r="B628" s="338"/>
      <c r="C628" s="678"/>
      <c r="D628" s="369"/>
      <c r="E628" s="679"/>
      <c r="F628" s="679"/>
      <c r="G628" s="679"/>
      <c r="H628" s="680"/>
      <c r="I628" s="357"/>
      <c r="J628" s="675"/>
      <c r="K628" s="676"/>
      <c r="L628" s="676"/>
      <c r="M628" s="677"/>
      <c r="N628" s="369"/>
      <c r="O628" s="338"/>
      <c r="P628" s="681"/>
    </row>
    <row r="629" spans="1:16">
      <c r="A629" s="329"/>
      <c r="B629" s="338"/>
      <c r="C629" s="678"/>
      <c r="D629" s="369"/>
      <c r="E629" s="679"/>
      <c r="F629" s="679"/>
      <c r="G629" s="679"/>
      <c r="H629" s="680"/>
      <c r="I629" s="357"/>
      <c r="J629" s="675"/>
      <c r="K629" s="676"/>
      <c r="L629" s="676"/>
      <c r="M629" s="677"/>
      <c r="N629" s="369"/>
      <c r="O629" s="338"/>
      <c r="P629" s="681"/>
    </row>
    <row r="630" spans="1:16">
      <c r="A630" s="329"/>
      <c r="B630" s="338"/>
      <c r="C630" s="678"/>
      <c r="D630" s="369"/>
      <c r="E630" s="679"/>
      <c r="F630" s="679"/>
      <c r="G630" s="679"/>
      <c r="H630" s="680"/>
      <c r="I630" s="357"/>
      <c r="J630" s="675"/>
      <c r="K630" s="676"/>
      <c r="L630" s="676"/>
      <c r="M630" s="677"/>
      <c r="N630" s="369"/>
      <c r="O630" s="338"/>
      <c r="P630" s="681"/>
    </row>
    <row r="631" spans="1:16">
      <c r="A631" s="329"/>
      <c r="B631" s="338"/>
      <c r="C631" s="678"/>
      <c r="D631" s="369"/>
      <c r="E631" s="679"/>
      <c r="F631" s="679"/>
      <c r="G631" s="679"/>
      <c r="H631" s="680"/>
      <c r="I631" s="357"/>
      <c r="J631" s="675"/>
      <c r="K631" s="676"/>
      <c r="L631" s="676"/>
      <c r="M631" s="677"/>
      <c r="N631" s="369"/>
      <c r="O631" s="338"/>
      <c r="P631" s="681"/>
    </row>
    <row r="632" spans="1:16">
      <c r="A632" s="329"/>
      <c r="B632" s="338"/>
      <c r="C632" s="678"/>
      <c r="D632" s="369"/>
      <c r="E632" s="679"/>
      <c r="F632" s="679"/>
      <c r="G632" s="679"/>
      <c r="H632" s="680"/>
      <c r="I632" s="357"/>
      <c r="J632" s="675"/>
      <c r="K632" s="676"/>
      <c r="L632" s="676"/>
      <c r="M632" s="677"/>
      <c r="N632" s="369"/>
      <c r="O632" s="338"/>
      <c r="P632" s="681"/>
    </row>
    <row r="633" spans="1:16">
      <c r="A633" s="329"/>
      <c r="B633" s="338"/>
      <c r="C633" s="678"/>
      <c r="D633" s="369"/>
      <c r="E633" s="679"/>
      <c r="F633" s="679"/>
      <c r="G633" s="679"/>
      <c r="H633" s="680"/>
      <c r="I633" s="357"/>
      <c r="J633" s="675"/>
      <c r="K633" s="676"/>
      <c r="L633" s="676"/>
      <c r="M633" s="677"/>
      <c r="N633" s="369"/>
      <c r="O633" s="338"/>
      <c r="P633" s="681"/>
    </row>
    <row r="634" spans="1:16">
      <c r="A634" s="329"/>
      <c r="B634" s="338"/>
      <c r="C634" s="678"/>
      <c r="D634" s="369"/>
      <c r="E634" s="679"/>
      <c r="F634" s="679"/>
      <c r="G634" s="679"/>
      <c r="H634" s="680"/>
      <c r="I634" s="357"/>
      <c r="J634" s="675"/>
      <c r="K634" s="676"/>
      <c r="L634" s="676"/>
      <c r="M634" s="677"/>
      <c r="N634" s="369"/>
      <c r="O634" s="338"/>
      <c r="P634" s="681"/>
    </row>
    <row r="635" spans="1:16">
      <c r="A635" s="329"/>
      <c r="B635" s="338"/>
      <c r="C635" s="678"/>
      <c r="D635" s="369"/>
      <c r="E635" s="679"/>
      <c r="F635" s="679"/>
      <c r="G635" s="679"/>
      <c r="H635" s="680"/>
      <c r="I635" s="357"/>
      <c r="J635" s="675"/>
      <c r="K635" s="676"/>
      <c r="L635" s="676"/>
      <c r="M635" s="677"/>
      <c r="N635" s="369"/>
      <c r="O635" s="338"/>
      <c r="P635" s="681"/>
    </row>
    <row r="636" spans="1:16">
      <c r="A636" s="329"/>
      <c r="B636" s="338"/>
      <c r="C636" s="678"/>
      <c r="D636" s="369"/>
      <c r="E636" s="679"/>
      <c r="F636" s="679"/>
      <c r="G636" s="679"/>
      <c r="H636" s="680"/>
      <c r="I636" s="357"/>
      <c r="J636" s="675"/>
      <c r="K636" s="676"/>
      <c r="L636" s="676"/>
      <c r="M636" s="677"/>
      <c r="N636" s="369"/>
      <c r="O636" s="338"/>
      <c r="P636" s="681"/>
    </row>
    <row r="637" spans="1:16">
      <c r="A637" s="329"/>
      <c r="B637" s="338"/>
      <c r="C637" s="678"/>
      <c r="D637" s="369"/>
      <c r="E637" s="679"/>
      <c r="F637" s="679"/>
      <c r="G637" s="679"/>
      <c r="H637" s="680"/>
      <c r="I637" s="357"/>
      <c r="J637" s="675"/>
      <c r="K637" s="676"/>
      <c r="L637" s="676"/>
      <c r="M637" s="677"/>
      <c r="N637" s="369"/>
      <c r="O637" s="338"/>
      <c r="P637" s="681"/>
    </row>
    <row r="638" spans="1:16">
      <c r="A638" s="329"/>
      <c r="B638" s="338"/>
      <c r="C638" s="678"/>
      <c r="D638" s="369"/>
      <c r="E638" s="679"/>
      <c r="F638" s="679"/>
      <c r="G638" s="679"/>
      <c r="H638" s="680"/>
      <c r="I638" s="357"/>
      <c r="J638" s="675"/>
      <c r="K638" s="676"/>
      <c r="L638" s="676"/>
      <c r="M638" s="677"/>
      <c r="N638" s="369"/>
      <c r="O638" s="338"/>
      <c r="P638" s="681"/>
    </row>
    <row r="639" spans="1:16">
      <c r="A639" s="329"/>
      <c r="B639" s="338"/>
      <c r="C639" s="678"/>
      <c r="D639" s="369"/>
      <c r="E639" s="679"/>
      <c r="F639" s="679"/>
      <c r="G639" s="679"/>
      <c r="H639" s="680"/>
      <c r="I639" s="357"/>
      <c r="J639" s="675"/>
      <c r="K639" s="676"/>
      <c r="L639" s="676"/>
      <c r="M639" s="677"/>
      <c r="N639" s="369"/>
      <c r="O639" s="338"/>
      <c r="P639" s="681"/>
    </row>
    <row r="640" spans="1:16">
      <c r="A640" s="329"/>
      <c r="B640" s="338"/>
      <c r="C640" s="678"/>
      <c r="D640" s="369"/>
      <c r="E640" s="679"/>
      <c r="F640" s="679"/>
      <c r="G640" s="679"/>
      <c r="H640" s="680"/>
      <c r="I640" s="357"/>
      <c r="J640" s="675"/>
      <c r="K640" s="676"/>
      <c r="L640" s="676"/>
      <c r="M640" s="677"/>
      <c r="N640" s="369"/>
      <c r="O640" s="338"/>
      <c r="P640" s="681"/>
    </row>
    <row r="641" spans="1:16">
      <c r="A641" s="329"/>
      <c r="B641" s="338"/>
      <c r="C641" s="678"/>
      <c r="D641" s="369"/>
      <c r="E641" s="679"/>
      <c r="F641" s="679"/>
      <c r="G641" s="679"/>
      <c r="H641" s="680"/>
      <c r="I641" s="357"/>
      <c r="J641" s="675"/>
      <c r="K641" s="676"/>
      <c r="L641" s="676"/>
      <c r="M641" s="677"/>
      <c r="N641" s="369"/>
      <c r="O641" s="338"/>
      <c r="P641" s="681"/>
    </row>
    <row r="642" spans="1:16">
      <c r="A642" s="329"/>
      <c r="B642" s="338"/>
      <c r="C642" s="678"/>
      <c r="D642" s="369"/>
      <c r="E642" s="679"/>
      <c r="F642" s="679"/>
      <c r="G642" s="679"/>
      <c r="H642" s="680"/>
      <c r="I642" s="357"/>
      <c r="J642" s="675"/>
      <c r="K642" s="676"/>
      <c r="L642" s="676"/>
      <c r="M642" s="677"/>
      <c r="N642" s="369"/>
      <c r="O642" s="338"/>
      <c r="P642" s="681"/>
    </row>
    <row r="643" spans="1:16">
      <c r="A643" s="329"/>
      <c r="B643" s="338"/>
      <c r="C643" s="678"/>
      <c r="D643" s="369"/>
      <c r="E643" s="679"/>
      <c r="F643" s="679"/>
      <c r="G643" s="679"/>
      <c r="H643" s="680"/>
      <c r="I643" s="357"/>
      <c r="J643" s="675"/>
      <c r="K643" s="676"/>
      <c r="L643" s="676"/>
      <c r="M643" s="677"/>
      <c r="N643" s="369"/>
      <c r="O643" s="338"/>
      <c r="P643" s="681"/>
    </row>
    <row r="644" spans="1:16">
      <c r="A644" s="329"/>
      <c r="B644" s="338"/>
      <c r="C644" s="678"/>
      <c r="D644" s="369"/>
      <c r="E644" s="679"/>
      <c r="F644" s="679"/>
      <c r="G644" s="679"/>
      <c r="H644" s="680"/>
      <c r="I644" s="357"/>
      <c r="J644" s="675"/>
      <c r="K644" s="676"/>
      <c r="L644" s="676"/>
      <c r="M644" s="677"/>
      <c r="N644" s="369"/>
      <c r="O644" s="338"/>
      <c r="P644" s="681"/>
    </row>
    <row r="645" spans="1:16">
      <c r="A645" s="329"/>
      <c r="B645" s="338"/>
      <c r="C645" s="678"/>
      <c r="D645" s="369"/>
      <c r="E645" s="679"/>
      <c r="F645" s="679"/>
      <c r="G645" s="679"/>
      <c r="H645" s="680"/>
      <c r="I645" s="357"/>
      <c r="J645" s="675"/>
      <c r="K645" s="676"/>
      <c r="L645" s="676"/>
      <c r="M645" s="677"/>
      <c r="N645" s="369"/>
      <c r="O645" s="338"/>
      <c r="P645" s="681"/>
    </row>
    <row r="646" spans="1:16">
      <c r="A646" s="329"/>
      <c r="B646" s="338"/>
      <c r="C646" s="678"/>
      <c r="D646" s="369"/>
      <c r="E646" s="679"/>
      <c r="F646" s="679"/>
      <c r="G646" s="679"/>
      <c r="H646" s="680"/>
      <c r="I646" s="357"/>
      <c r="J646" s="675"/>
      <c r="K646" s="676"/>
      <c r="L646" s="676"/>
      <c r="M646" s="677"/>
      <c r="N646" s="369"/>
      <c r="O646" s="338"/>
      <c r="P646" s="681"/>
    </row>
    <row r="647" spans="1:16">
      <c r="A647" s="329"/>
      <c r="B647" s="338"/>
      <c r="C647" s="678"/>
      <c r="D647" s="369"/>
      <c r="E647" s="679"/>
      <c r="F647" s="679"/>
      <c r="G647" s="679"/>
      <c r="H647" s="680"/>
      <c r="I647" s="357"/>
      <c r="J647" s="675"/>
      <c r="K647" s="676"/>
      <c r="L647" s="676"/>
      <c r="M647" s="677"/>
      <c r="N647" s="369"/>
      <c r="O647" s="338"/>
      <c r="P647" s="681"/>
    </row>
    <row r="648" spans="1:16">
      <c r="A648" s="329"/>
      <c r="B648" s="338"/>
      <c r="C648" s="678"/>
      <c r="D648" s="369"/>
      <c r="E648" s="679"/>
      <c r="F648" s="679"/>
      <c r="G648" s="679"/>
      <c r="H648" s="680"/>
      <c r="I648" s="357"/>
      <c r="J648" s="675"/>
      <c r="K648" s="676"/>
      <c r="L648" s="676"/>
      <c r="M648" s="677"/>
      <c r="N648" s="369"/>
      <c r="O648" s="338"/>
      <c r="P648" s="681"/>
    </row>
    <row r="649" spans="1:16">
      <c r="A649" s="329"/>
      <c r="B649" s="338"/>
      <c r="C649" s="678"/>
      <c r="D649" s="369"/>
      <c r="E649" s="679"/>
      <c r="F649" s="679"/>
      <c r="G649" s="679"/>
      <c r="H649" s="680"/>
      <c r="I649" s="357"/>
      <c r="J649" s="675"/>
      <c r="K649" s="676"/>
      <c r="L649" s="676"/>
      <c r="M649" s="677"/>
      <c r="N649" s="369"/>
      <c r="O649" s="338"/>
      <c r="P649" s="681"/>
    </row>
    <row r="650" spans="1:16">
      <c r="A650" s="329"/>
      <c r="B650" s="338"/>
      <c r="C650" s="678"/>
      <c r="D650" s="369"/>
      <c r="E650" s="679"/>
      <c r="F650" s="679"/>
      <c r="G650" s="679"/>
      <c r="H650" s="680"/>
      <c r="I650" s="357"/>
      <c r="J650" s="675"/>
      <c r="K650" s="676"/>
      <c r="L650" s="676"/>
      <c r="M650" s="677"/>
      <c r="N650" s="369"/>
      <c r="O650" s="338"/>
      <c r="P650" s="681"/>
    </row>
    <row r="651" spans="1:16">
      <c r="A651" s="329"/>
      <c r="B651" s="338"/>
      <c r="C651" s="678"/>
      <c r="D651" s="369"/>
      <c r="E651" s="679"/>
      <c r="F651" s="679"/>
      <c r="G651" s="679"/>
      <c r="H651" s="680"/>
      <c r="I651" s="357"/>
      <c r="J651" s="675"/>
      <c r="K651" s="676"/>
      <c r="L651" s="676"/>
      <c r="M651" s="677"/>
      <c r="N651" s="369"/>
      <c r="O651" s="338"/>
      <c r="P651" s="681"/>
    </row>
    <row r="652" spans="1:16">
      <c r="A652" s="329"/>
      <c r="B652" s="338"/>
      <c r="C652" s="678"/>
      <c r="D652" s="369"/>
      <c r="E652" s="679"/>
      <c r="F652" s="679"/>
      <c r="G652" s="679"/>
      <c r="H652" s="680"/>
      <c r="I652" s="357"/>
      <c r="J652" s="675"/>
      <c r="K652" s="676"/>
      <c r="L652" s="676"/>
      <c r="M652" s="677"/>
      <c r="N652" s="369"/>
      <c r="O652" s="338"/>
      <c r="P652" s="681"/>
    </row>
    <row r="653" spans="1:16">
      <c r="A653" s="329"/>
      <c r="B653" s="338"/>
      <c r="C653" s="678"/>
      <c r="D653" s="369"/>
      <c r="E653" s="679"/>
      <c r="F653" s="679"/>
      <c r="G653" s="679"/>
      <c r="H653" s="680"/>
      <c r="I653" s="357"/>
      <c r="J653" s="675"/>
      <c r="K653" s="676"/>
      <c r="L653" s="676"/>
      <c r="M653" s="677"/>
      <c r="N653" s="369"/>
      <c r="O653" s="338"/>
      <c r="P653" s="681"/>
    </row>
    <row r="654" spans="1:16">
      <c r="A654" s="329"/>
      <c r="B654" s="338"/>
      <c r="C654" s="678"/>
      <c r="D654" s="369"/>
      <c r="E654" s="679"/>
      <c r="F654" s="679"/>
      <c r="G654" s="679"/>
      <c r="H654" s="680"/>
      <c r="I654" s="357"/>
      <c r="J654" s="675"/>
      <c r="K654" s="676"/>
      <c r="L654" s="676"/>
      <c r="M654" s="677"/>
      <c r="N654" s="369"/>
      <c r="O654" s="338"/>
      <c r="P654" s="681"/>
    </row>
    <row r="655" spans="1:16">
      <c r="A655" s="329"/>
      <c r="B655" s="338"/>
      <c r="C655" s="678"/>
      <c r="D655" s="369"/>
      <c r="E655" s="679"/>
      <c r="F655" s="679"/>
      <c r="G655" s="679"/>
      <c r="H655" s="680"/>
      <c r="I655" s="357"/>
      <c r="J655" s="675"/>
      <c r="K655" s="676"/>
      <c r="L655" s="676"/>
      <c r="M655" s="677"/>
      <c r="N655" s="369"/>
      <c r="O655" s="338"/>
      <c r="P655" s="681"/>
    </row>
    <row r="656" spans="1:16">
      <c r="A656" s="329"/>
      <c r="B656" s="338"/>
      <c r="C656" s="678"/>
      <c r="D656" s="369"/>
      <c r="E656" s="679"/>
      <c r="F656" s="679"/>
      <c r="G656" s="679"/>
      <c r="H656" s="680"/>
      <c r="I656" s="357"/>
      <c r="J656" s="675"/>
      <c r="K656" s="676"/>
      <c r="L656" s="676"/>
      <c r="M656" s="677"/>
      <c r="N656" s="369"/>
      <c r="O656" s="338"/>
      <c r="P656" s="681"/>
    </row>
    <row r="657" spans="1:16">
      <c r="A657" s="329"/>
      <c r="B657" s="338"/>
      <c r="C657" s="678"/>
      <c r="D657" s="369"/>
      <c r="E657" s="679"/>
      <c r="F657" s="679"/>
      <c r="G657" s="679"/>
      <c r="H657" s="680"/>
      <c r="I657" s="357"/>
      <c r="J657" s="675"/>
      <c r="K657" s="676"/>
      <c r="L657" s="676"/>
      <c r="M657" s="677"/>
      <c r="N657" s="369"/>
      <c r="O657" s="338"/>
      <c r="P657" s="681"/>
    </row>
    <row r="658" spans="1:16">
      <c r="A658" s="329"/>
      <c r="B658" s="338"/>
      <c r="C658" s="678"/>
      <c r="D658" s="369"/>
      <c r="E658" s="679"/>
      <c r="F658" s="679"/>
      <c r="G658" s="679"/>
      <c r="H658" s="680"/>
      <c r="I658" s="357"/>
      <c r="J658" s="675"/>
      <c r="K658" s="676"/>
      <c r="L658" s="676"/>
      <c r="M658" s="677"/>
      <c r="N658" s="369"/>
      <c r="O658" s="338"/>
      <c r="P658" s="681"/>
    </row>
    <row r="659" spans="1:16">
      <c r="A659" s="329"/>
      <c r="B659" s="338"/>
      <c r="C659" s="678"/>
      <c r="D659" s="369"/>
      <c r="E659" s="679"/>
      <c r="F659" s="679"/>
      <c r="G659" s="679"/>
      <c r="H659" s="680"/>
      <c r="I659" s="357"/>
      <c r="J659" s="675"/>
      <c r="K659" s="676"/>
      <c r="L659" s="676"/>
      <c r="M659" s="677"/>
      <c r="N659" s="369"/>
      <c r="O659" s="338"/>
      <c r="P659" s="681"/>
    </row>
    <row r="660" spans="1:16">
      <c r="A660" s="329"/>
      <c r="B660" s="338"/>
      <c r="C660" s="678"/>
      <c r="D660" s="369"/>
      <c r="E660" s="679"/>
      <c r="F660" s="679"/>
      <c r="G660" s="679"/>
      <c r="H660" s="680"/>
      <c r="I660" s="357"/>
      <c r="J660" s="675"/>
      <c r="K660" s="676"/>
      <c r="L660" s="676"/>
      <c r="M660" s="677"/>
      <c r="N660" s="369"/>
      <c r="O660" s="338"/>
      <c r="P660" s="681"/>
    </row>
    <row r="661" spans="1:16">
      <c r="A661" s="329"/>
      <c r="B661" s="338"/>
      <c r="C661" s="678"/>
      <c r="D661" s="369"/>
      <c r="E661" s="679"/>
      <c r="F661" s="679"/>
      <c r="G661" s="679"/>
      <c r="H661" s="680"/>
      <c r="I661" s="357"/>
      <c r="J661" s="675"/>
      <c r="K661" s="676"/>
      <c r="L661" s="676"/>
      <c r="M661" s="677"/>
      <c r="N661" s="369"/>
      <c r="O661" s="338"/>
      <c r="P661" s="681"/>
    </row>
    <row r="662" spans="1:16">
      <c r="A662" s="329"/>
      <c r="B662" s="338"/>
      <c r="C662" s="678"/>
      <c r="D662" s="369"/>
      <c r="E662" s="679"/>
      <c r="F662" s="679"/>
      <c r="G662" s="679"/>
      <c r="H662" s="680"/>
      <c r="I662" s="357"/>
      <c r="J662" s="675"/>
      <c r="K662" s="676"/>
      <c r="L662" s="676"/>
      <c r="M662" s="677"/>
      <c r="N662" s="369"/>
      <c r="O662" s="338"/>
      <c r="P662" s="681"/>
    </row>
    <row r="663" spans="1:16">
      <c r="A663" s="329"/>
      <c r="B663" s="338"/>
      <c r="C663" s="678"/>
      <c r="D663" s="369"/>
      <c r="E663" s="679"/>
      <c r="F663" s="679"/>
      <c r="G663" s="679"/>
      <c r="H663" s="680"/>
      <c r="I663" s="357"/>
      <c r="J663" s="675"/>
      <c r="K663" s="676"/>
      <c r="L663" s="676"/>
      <c r="M663" s="677"/>
      <c r="N663" s="369"/>
      <c r="O663" s="338"/>
      <c r="P663" s="681"/>
    </row>
    <row r="664" spans="1:16">
      <c r="A664" s="329"/>
      <c r="B664" s="338"/>
      <c r="C664" s="678"/>
      <c r="D664" s="369"/>
      <c r="E664" s="679"/>
      <c r="F664" s="679"/>
      <c r="G664" s="679"/>
      <c r="H664" s="680"/>
      <c r="I664" s="357"/>
      <c r="J664" s="675"/>
      <c r="K664" s="676"/>
      <c r="L664" s="676"/>
      <c r="M664" s="677"/>
      <c r="N664" s="369"/>
      <c r="O664" s="338"/>
      <c r="P664" s="681"/>
    </row>
    <row r="665" spans="1:16">
      <c r="A665" s="329"/>
      <c r="B665" s="338"/>
      <c r="C665" s="678"/>
      <c r="D665" s="369"/>
      <c r="E665" s="679"/>
      <c r="F665" s="679"/>
      <c r="G665" s="679"/>
      <c r="H665" s="680"/>
      <c r="I665" s="357"/>
      <c r="J665" s="675"/>
      <c r="K665" s="676"/>
      <c r="L665" s="676"/>
      <c r="M665" s="677"/>
      <c r="N665" s="369"/>
      <c r="O665" s="338"/>
      <c r="P665" s="681"/>
    </row>
    <row r="666" spans="1:16">
      <c r="A666" s="329"/>
      <c r="B666" s="338"/>
      <c r="C666" s="678"/>
      <c r="D666" s="369"/>
      <c r="E666" s="679"/>
      <c r="F666" s="679"/>
      <c r="G666" s="679"/>
      <c r="H666" s="680"/>
      <c r="I666" s="357"/>
      <c r="J666" s="675"/>
      <c r="K666" s="676"/>
      <c r="L666" s="676"/>
      <c r="M666" s="677"/>
      <c r="N666" s="369"/>
      <c r="O666" s="338"/>
      <c r="P666" s="681"/>
    </row>
    <row r="667" spans="1:16">
      <c r="A667" s="329"/>
      <c r="B667" s="338"/>
      <c r="C667" s="678"/>
      <c r="D667" s="369"/>
      <c r="E667" s="679"/>
      <c r="F667" s="679"/>
      <c r="G667" s="679"/>
      <c r="H667" s="680"/>
      <c r="I667" s="357"/>
      <c r="J667" s="675"/>
      <c r="K667" s="676"/>
      <c r="L667" s="676"/>
      <c r="M667" s="677"/>
      <c r="N667" s="369"/>
      <c r="O667" s="338"/>
      <c r="P667" s="681"/>
    </row>
    <row r="668" spans="1:16">
      <c r="A668" s="329"/>
      <c r="B668" s="338"/>
      <c r="C668" s="678"/>
      <c r="D668" s="369"/>
      <c r="E668" s="679"/>
      <c r="F668" s="679"/>
      <c r="G668" s="679"/>
      <c r="H668" s="680"/>
      <c r="I668" s="357"/>
      <c r="J668" s="675"/>
      <c r="K668" s="676"/>
      <c r="L668" s="676"/>
      <c r="M668" s="677"/>
      <c r="N668" s="369"/>
      <c r="O668" s="338"/>
      <c r="P668" s="681"/>
    </row>
    <row r="669" spans="1:16">
      <c r="A669" s="329"/>
      <c r="B669" s="338"/>
      <c r="C669" s="678"/>
      <c r="D669" s="369"/>
      <c r="E669" s="679"/>
      <c r="F669" s="679"/>
      <c r="G669" s="679"/>
      <c r="H669" s="680"/>
      <c r="I669" s="357"/>
      <c r="J669" s="675"/>
      <c r="K669" s="676"/>
      <c r="L669" s="676"/>
      <c r="M669" s="677"/>
      <c r="N669" s="369"/>
      <c r="O669" s="338"/>
      <c r="P669" s="681"/>
    </row>
    <row r="670" spans="1:16">
      <c r="A670" s="329"/>
      <c r="B670" s="338"/>
      <c r="C670" s="678"/>
      <c r="D670" s="369"/>
      <c r="E670" s="679"/>
      <c r="F670" s="679"/>
      <c r="G670" s="679"/>
      <c r="H670" s="680"/>
      <c r="I670" s="357"/>
      <c r="J670" s="675"/>
      <c r="K670" s="676"/>
      <c r="L670" s="676"/>
      <c r="M670" s="677"/>
      <c r="N670" s="369"/>
      <c r="O670" s="338"/>
      <c r="P670" s="681"/>
    </row>
    <row r="671" spans="1:16">
      <c r="A671" s="329"/>
      <c r="B671" s="338"/>
      <c r="C671" s="678"/>
      <c r="D671" s="369"/>
      <c r="E671" s="679"/>
      <c r="F671" s="679"/>
      <c r="G671" s="679"/>
      <c r="H671" s="680"/>
      <c r="I671" s="357"/>
      <c r="J671" s="675"/>
      <c r="K671" s="676"/>
      <c r="L671" s="676"/>
      <c r="M671" s="677"/>
      <c r="N671" s="369"/>
      <c r="O671" s="338"/>
      <c r="P671" s="681"/>
    </row>
    <row r="672" spans="1:16">
      <c r="A672" s="329"/>
      <c r="B672" s="338"/>
      <c r="C672" s="678"/>
      <c r="D672" s="369"/>
      <c r="E672" s="679"/>
      <c r="F672" s="679"/>
      <c r="G672" s="679"/>
      <c r="H672" s="680"/>
      <c r="I672" s="357"/>
      <c r="J672" s="675"/>
      <c r="K672" s="676"/>
      <c r="L672" s="676"/>
      <c r="M672" s="677"/>
      <c r="N672" s="369"/>
      <c r="O672" s="338"/>
      <c r="P672" s="681"/>
    </row>
    <row r="673" spans="1:16">
      <c r="A673" s="329"/>
      <c r="B673" s="338"/>
      <c r="C673" s="678"/>
      <c r="D673" s="369"/>
      <c r="E673" s="679"/>
      <c r="F673" s="679"/>
      <c r="G673" s="679"/>
      <c r="H673" s="680"/>
      <c r="I673" s="357"/>
      <c r="J673" s="675"/>
      <c r="K673" s="676"/>
      <c r="L673" s="676"/>
      <c r="M673" s="677"/>
      <c r="N673" s="369"/>
      <c r="O673" s="338"/>
      <c r="P673" s="681"/>
    </row>
    <row r="674" spans="1:16">
      <c r="A674" s="329"/>
      <c r="B674" s="338"/>
      <c r="C674" s="678"/>
      <c r="D674" s="369"/>
      <c r="E674" s="679"/>
      <c r="F674" s="679"/>
      <c r="G674" s="679"/>
      <c r="H674" s="680"/>
      <c r="I674" s="357"/>
      <c r="J674" s="675"/>
      <c r="K674" s="676"/>
      <c r="L674" s="676"/>
      <c r="M674" s="677"/>
      <c r="N674" s="369"/>
      <c r="O674" s="338"/>
      <c r="P674" s="681"/>
    </row>
    <row r="675" spans="1:16">
      <c r="A675" s="329"/>
      <c r="B675" s="338"/>
      <c r="C675" s="678"/>
      <c r="D675" s="369"/>
      <c r="E675" s="679"/>
      <c r="F675" s="679"/>
      <c r="G675" s="679"/>
      <c r="H675" s="680"/>
      <c r="I675" s="357"/>
      <c r="J675" s="675"/>
      <c r="K675" s="676"/>
      <c r="L675" s="676"/>
      <c r="M675" s="677"/>
      <c r="N675" s="369"/>
      <c r="O675" s="338"/>
      <c r="P675" s="681"/>
    </row>
    <row r="676" spans="1:16">
      <c r="A676" s="329"/>
      <c r="B676" s="338"/>
      <c r="C676" s="678"/>
      <c r="D676" s="369"/>
      <c r="E676" s="679"/>
      <c r="F676" s="679"/>
      <c r="G676" s="679"/>
      <c r="H676" s="680"/>
      <c r="I676" s="357"/>
      <c r="J676" s="675"/>
      <c r="K676" s="676"/>
      <c r="L676" s="676"/>
      <c r="M676" s="677"/>
      <c r="N676" s="369"/>
      <c r="O676" s="338"/>
      <c r="P676" s="681"/>
    </row>
    <row r="677" spans="1:16">
      <c r="A677" s="329"/>
      <c r="B677" s="338"/>
      <c r="C677" s="678"/>
      <c r="D677" s="369"/>
      <c r="E677" s="679"/>
      <c r="F677" s="679"/>
      <c r="G677" s="679"/>
      <c r="H677" s="680"/>
      <c r="I677" s="357"/>
      <c r="J677" s="675"/>
      <c r="K677" s="676"/>
      <c r="L677" s="676"/>
      <c r="M677" s="677"/>
      <c r="N677" s="369"/>
      <c r="O677" s="338"/>
      <c r="P677" s="681"/>
    </row>
    <row r="678" spans="1:16">
      <c r="A678" s="329"/>
      <c r="B678" s="338"/>
      <c r="C678" s="678"/>
      <c r="D678" s="369"/>
      <c r="E678" s="679"/>
      <c r="F678" s="679"/>
      <c r="G678" s="679"/>
      <c r="H678" s="680"/>
      <c r="I678" s="357"/>
      <c r="J678" s="675"/>
      <c r="K678" s="676"/>
      <c r="L678" s="676"/>
      <c r="M678" s="677"/>
      <c r="N678" s="369"/>
      <c r="O678" s="338"/>
      <c r="P678" s="681"/>
    </row>
    <row r="679" spans="1:16">
      <c r="A679" s="329"/>
      <c r="B679" s="338"/>
      <c r="C679" s="678"/>
      <c r="D679" s="369"/>
      <c r="E679" s="679"/>
      <c r="F679" s="679"/>
      <c r="G679" s="679"/>
      <c r="H679" s="680"/>
      <c r="I679" s="357"/>
      <c r="J679" s="675"/>
      <c r="K679" s="676"/>
      <c r="L679" s="676"/>
      <c r="M679" s="677"/>
      <c r="N679" s="369"/>
      <c r="O679" s="338"/>
      <c r="P679" s="681"/>
    </row>
    <row r="680" spans="1:16">
      <c r="A680" s="329"/>
      <c r="B680" s="338"/>
      <c r="C680" s="678"/>
      <c r="D680" s="369"/>
      <c r="E680" s="679"/>
      <c r="F680" s="679"/>
      <c r="G680" s="679"/>
      <c r="H680" s="680"/>
      <c r="I680" s="357"/>
      <c r="J680" s="675"/>
      <c r="K680" s="676"/>
      <c r="L680" s="676"/>
      <c r="M680" s="677"/>
      <c r="N680" s="369"/>
      <c r="O680" s="338"/>
      <c r="P680" s="681"/>
    </row>
    <row r="681" spans="1:16">
      <c r="A681" s="329"/>
      <c r="B681" s="338"/>
      <c r="C681" s="678"/>
      <c r="D681" s="369"/>
      <c r="E681" s="679"/>
      <c r="F681" s="679"/>
      <c r="G681" s="679"/>
      <c r="H681" s="680"/>
      <c r="I681" s="357"/>
      <c r="J681" s="675"/>
      <c r="K681" s="676"/>
      <c r="L681" s="676"/>
      <c r="M681" s="677"/>
      <c r="N681" s="369"/>
      <c r="O681" s="338"/>
      <c r="P681" s="681"/>
    </row>
    <row r="682" spans="1:16">
      <c r="A682" s="329"/>
      <c r="B682" s="338"/>
      <c r="C682" s="678"/>
      <c r="D682" s="369"/>
      <c r="E682" s="679"/>
      <c r="F682" s="679"/>
      <c r="G682" s="679"/>
      <c r="H682" s="680"/>
      <c r="I682" s="357"/>
      <c r="J682" s="675"/>
      <c r="K682" s="676"/>
      <c r="L682" s="676"/>
      <c r="M682" s="677"/>
      <c r="N682" s="369"/>
      <c r="O682" s="338"/>
      <c r="P682" s="681"/>
    </row>
    <row r="683" spans="1:16">
      <c r="A683" s="329"/>
      <c r="B683" s="338"/>
      <c r="C683" s="678"/>
      <c r="D683" s="369"/>
      <c r="E683" s="679"/>
      <c r="F683" s="679"/>
      <c r="G683" s="679"/>
      <c r="H683" s="680"/>
      <c r="I683" s="357"/>
      <c r="J683" s="675"/>
      <c r="K683" s="676"/>
      <c r="L683" s="676"/>
      <c r="M683" s="677"/>
      <c r="N683" s="369"/>
      <c r="O683" s="338"/>
      <c r="P683" s="681"/>
    </row>
    <row r="684" spans="1:16">
      <c r="A684" s="329"/>
      <c r="B684" s="338"/>
      <c r="C684" s="678"/>
      <c r="D684" s="369"/>
      <c r="E684" s="679"/>
      <c r="F684" s="679"/>
      <c r="G684" s="679"/>
      <c r="H684" s="680"/>
      <c r="I684" s="357"/>
      <c r="J684" s="675"/>
      <c r="K684" s="676"/>
      <c r="L684" s="676"/>
      <c r="M684" s="677"/>
      <c r="N684" s="369"/>
      <c r="O684" s="338"/>
      <c r="P684" s="681"/>
    </row>
    <row r="685" spans="1:16">
      <c r="A685" s="329"/>
      <c r="B685" s="338"/>
      <c r="C685" s="678"/>
      <c r="D685" s="369"/>
      <c r="E685" s="679"/>
      <c r="F685" s="679"/>
      <c r="G685" s="679"/>
      <c r="H685" s="680"/>
      <c r="I685" s="357"/>
      <c r="J685" s="675"/>
      <c r="K685" s="676"/>
      <c r="L685" s="676"/>
      <c r="M685" s="677"/>
      <c r="N685" s="369"/>
      <c r="O685" s="338"/>
      <c r="P685" s="681"/>
    </row>
    <row r="686" spans="1:16">
      <c r="A686" s="329"/>
      <c r="B686" s="338"/>
      <c r="C686" s="678"/>
      <c r="D686" s="369"/>
      <c r="E686" s="679"/>
      <c r="F686" s="679"/>
      <c r="G686" s="679"/>
      <c r="H686" s="680"/>
      <c r="I686" s="357"/>
      <c r="J686" s="675"/>
      <c r="K686" s="676"/>
      <c r="L686" s="676"/>
      <c r="M686" s="677"/>
      <c r="N686" s="369"/>
      <c r="O686" s="338"/>
      <c r="P686" s="681"/>
    </row>
    <row r="687" spans="1:16">
      <c r="A687" s="329"/>
      <c r="B687" s="338"/>
      <c r="C687" s="678"/>
      <c r="D687" s="369"/>
      <c r="E687" s="679"/>
      <c r="F687" s="679"/>
      <c r="G687" s="679"/>
      <c r="H687" s="680"/>
      <c r="I687" s="357"/>
      <c r="J687" s="675"/>
      <c r="K687" s="676"/>
      <c r="L687" s="676"/>
      <c r="M687" s="677"/>
      <c r="N687" s="369"/>
      <c r="O687" s="338"/>
      <c r="P687" s="681"/>
    </row>
    <row r="688" spans="1:16">
      <c r="A688" s="329"/>
      <c r="B688" s="338"/>
      <c r="C688" s="678"/>
      <c r="D688" s="369"/>
      <c r="E688" s="679"/>
      <c r="F688" s="679"/>
      <c r="G688" s="679"/>
      <c r="H688" s="680"/>
      <c r="I688" s="357"/>
      <c r="J688" s="675"/>
      <c r="K688" s="676"/>
      <c r="L688" s="676"/>
      <c r="M688" s="677"/>
      <c r="N688" s="369"/>
      <c r="O688" s="338"/>
      <c r="P688" s="681"/>
    </row>
    <row r="689" spans="1:16">
      <c r="A689" s="329"/>
      <c r="B689" s="338"/>
      <c r="C689" s="678"/>
      <c r="D689" s="369"/>
      <c r="E689" s="679"/>
      <c r="F689" s="679"/>
      <c r="G689" s="679"/>
      <c r="H689" s="680"/>
      <c r="I689" s="357"/>
      <c r="J689" s="675"/>
      <c r="K689" s="676"/>
      <c r="L689" s="676"/>
      <c r="M689" s="677"/>
      <c r="N689" s="369"/>
      <c r="O689" s="338"/>
      <c r="P689" s="681"/>
    </row>
    <row r="690" spans="1:16">
      <c r="A690" s="329"/>
      <c r="B690" s="338"/>
      <c r="C690" s="678"/>
      <c r="D690" s="369"/>
      <c r="E690" s="679"/>
      <c r="F690" s="679"/>
      <c r="G690" s="679"/>
      <c r="H690" s="680"/>
      <c r="I690" s="357"/>
      <c r="J690" s="675"/>
      <c r="K690" s="676"/>
      <c r="L690" s="676"/>
      <c r="M690" s="677"/>
      <c r="N690" s="369"/>
      <c r="O690" s="338"/>
      <c r="P690" s="681"/>
    </row>
    <row r="691" spans="1:16">
      <c r="A691" s="329"/>
      <c r="B691" s="338"/>
      <c r="C691" s="678"/>
      <c r="D691" s="369"/>
      <c r="E691" s="679"/>
      <c r="F691" s="679"/>
      <c r="G691" s="679"/>
      <c r="H691" s="680"/>
      <c r="I691" s="357"/>
      <c r="J691" s="675"/>
      <c r="K691" s="676"/>
      <c r="L691" s="676"/>
      <c r="M691" s="677"/>
      <c r="N691" s="369"/>
      <c r="O691" s="338"/>
      <c r="P691" s="681"/>
    </row>
    <row r="692" spans="1:16">
      <c r="A692" s="329"/>
      <c r="B692" s="338"/>
      <c r="C692" s="678"/>
      <c r="D692" s="369"/>
      <c r="E692" s="679"/>
      <c r="F692" s="679"/>
      <c r="G692" s="679"/>
      <c r="H692" s="680"/>
      <c r="I692" s="357"/>
      <c r="J692" s="675"/>
      <c r="K692" s="676"/>
      <c r="L692" s="676"/>
      <c r="M692" s="677"/>
      <c r="N692" s="369"/>
      <c r="O692" s="338"/>
      <c r="P692" s="681"/>
    </row>
    <row r="693" spans="1:16">
      <c r="A693" s="329"/>
      <c r="B693" s="338"/>
      <c r="C693" s="678"/>
      <c r="D693" s="369"/>
      <c r="E693" s="679"/>
      <c r="F693" s="679"/>
      <c r="G693" s="679"/>
      <c r="H693" s="680"/>
      <c r="I693" s="357"/>
      <c r="J693" s="675"/>
      <c r="K693" s="676"/>
      <c r="L693" s="676"/>
      <c r="M693" s="677"/>
      <c r="N693" s="369"/>
      <c r="O693" s="338"/>
      <c r="P693" s="681"/>
    </row>
    <row r="694" spans="1:16">
      <c r="A694" s="329"/>
      <c r="B694" s="338"/>
      <c r="C694" s="678"/>
      <c r="D694" s="369"/>
      <c r="E694" s="679"/>
      <c r="F694" s="679"/>
      <c r="G694" s="679"/>
      <c r="H694" s="680"/>
      <c r="I694" s="357"/>
      <c r="J694" s="675"/>
      <c r="K694" s="676"/>
      <c r="L694" s="676"/>
      <c r="M694" s="677"/>
      <c r="N694" s="369"/>
      <c r="O694" s="338"/>
      <c r="P694" s="681"/>
    </row>
    <row r="695" spans="1:16">
      <c r="A695" s="329"/>
      <c r="B695" s="338"/>
      <c r="C695" s="678"/>
      <c r="D695" s="369"/>
      <c r="E695" s="679"/>
      <c r="F695" s="679"/>
      <c r="G695" s="679"/>
      <c r="H695" s="680"/>
      <c r="I695" s="357"/>
      <c r="J695" s="675"/>
      <c r="K695" s="676"/>
      <c r="L695" s="676"/>
      <c r="M695" s="677"/>
      <c r="N695" s="369"/>
      <c r="O695" s="338"/>
      <c r="P695" s="681"/>
    </row>
    <row r="696" spans="1:16">
      <c r="A696" s="329"/>
      <c r="B696" s="338"/>
      <c r="C696" s="678"/>
      <c r="D696" s="369"/>
      <c r="E696" s="679"/>
      <c r="F696" s="679"/>
      <c r="G696" s="679"/>
      <c r="H696" s="680"/>
      <c r="I696" s="357"/>
      <c r="J696" s="675"/>
      <c r="K696" s="676"/>
      <c r="L696" s="676"/>
      <c r="M696" s="677"/>
      <c r="N696" s="369"/>
      <c r="O696" s="338"/>
      <c r="P696" s="681"/>
    </row>
    <row r="697" spans="1:16">
      <c r="A697" s="329"/>
      <c r="B697" s="338"/>
      <c r="C697" s="678"/>
      <c r="D697" s="369"/>
      <c r="E697" s="679"/>
      <c r="F697" s="679"/>
      <c r="G697" s="679"/>
      <c r="H697" s="680"/>
      <c r="I697" s="357"/>
      <c r="J697" s="675"/>
      <c r="K697" s="676"/>
      <c r="L697" s="676"/>
      <c r="M697" s="677"/>
      <c r="N697" s="369"/>
      <c r="O697" s="338"/>
      <c r="P697" s="681"/>
    </row>
    <row r="698" spans="1:16">
      <c r="A698" s="329"/>
      <c r="B698" s="338"/>
      <c r="C698" s="678"/>
      <c r="D698" s="369"/>
      <c r="E698" s="679"/>
      <c r="F698" s="679"/>
      <c r="G698" s="679"/>
      <c r="H698" s="680"/>
      <c r="I698" s="357"/>
      <c r="J698" s="675"/>
      <c r="K698" s="676"/>
      <c r="L698" s="676"/>
      <c r="M698" s="677"/>
      <c r="N698" s="369"/>
      <c r="O698" s="338"/>
      <c r="P698" s="681"/>
    </row>
    <row r="699" spans="1:16">
      <c r="A699" s="329"/>
      <c r="B699" s="338"/>
      <c r="C699" s="678"/>
      <c r="D699" s="369"/>
      <c r="E699" s="679"/>
      <c r="F699" s="679"/>
      <c r="G699" s="679"/>
      <c r="H699" s="680"/>
      <c r="I699" s="357"/>
      <c r="J699" s="675"/>
      <c r="K699" s="676"/>
      <c r="L699" s="676"/>
      <c r="M699" s="677"/>
      <c r="N699" s="369"/>
      <c r="O699" s="338"/>
      <c r="P699" s="681"/>
    </row>
    <row r="700" spans="1:16">
      <c r="A700" s="329"/>
      <c r="B700" s="338"/>
      <c r="C700" s="678"/>
      <c r="D700" s="369"/>
      <c r="E700" s="679"/>
      <c r="F700" s="679"/>
      <c r="G700" s="679"/>
      <c r="H700" s="680"/>
      <c r="I700" s="357"/>
      <c r="J700" s="675"/>
      <c r="K700" s="676"/>
      <c r="L700" s="676"/>
      <c r="M700" s="677"/>
      <c r="N700" s="369"/>
      <c r="O700" s="338"/>
      <c r="P700" s="681"/>
    </row>
    <row r="701" spans="1:16">
      <c r="A701" s="329"/>
      <c r="B701" s="338"/>
      <c r="C701" s="678"/>
      <c r="D701" s="369"/>
      <c r="E701" s="679"/>
      <c r="F701" s="679"/>
      <c r="G701" s="679"/>
      <c r="H701" s="680"/>
      <c r="I701" s="357"/>
      <c r="J701" s="675"/>
      <c r="K701" s="676"/>
      <c r="L701" s="676"/>
      <c r="M701" s="677"/>
      <c r="N701" s="369"/>
      <c r="O701" s="338"/>
      <c r="P701" s="681"/>
    </row>
    <row r="702" spans="1:16">
      <c r="A702" s="329"/>
      <c r="B702" s="338"/>
      <c r="C702" s="678"/>
      <c r="D702" s="369"/>
      <c r="E702" s="679"/>
      <c r="F702" s="679"/>
      <c r="G702" s="679"/>
      <c r="H702" s="680"/>
      <c r="I702" s="357"/>
      <c r="J702" s="675"/>
      <c r="K702" s="676"/>
      <c r="L702" s="676"/>
      <c r="M702" s="677"/>
      <c r="N702" s="369"/>
      <c r="O702" s="338"/>
      <c r="P702" s="681"/>
    </row>
    <row r="703" spans="1:16">
      <c r="A703" s="329"/>
      <c r="B703" s="338"/>
      <c r="C703" s="678"/>
      <c r="D703" s="369"/>
      <c r="E703" s="679"/>
      <c r="F703" s="679"/>
      <c r="G703" s="679"/>
      <c r="H703" s="680"/>
      <c r="I703" s="357"/>
      <c r="J703" s="675"/>
      <c r="K703" s="676"/>
      <c r="L703" s="676"/>
      <c r="M703" s="677"/>
      <c r="N703" s="369"/>
      <c r="O703" s="338"/>
      <c r="P703" s="681"/>
    </row>
    <row r="704" spans="1:16">
      <c r="A704" s="329"/>
      <c r="B704" s="338"/>
      <c r="C704" s="678"/>
      <c r="D704" s="369"/>
      <c r="E704" s="679"/>
      <c r="F704" s="679"/>
      <c r="G704" s="679"/>
      <c r="H704" s="680"/>
      <c r="I704" s="357"/>
      <c r="J704" s="675"/>
      <c r="K704" s="676"/>
      <c r="L704" s="676"/>
      <c r="M704" s="677"/>
      <c r="N704" s="369"/>
      <c r="O704" s="338"/>
      <c r="P704" s="681"/>
    </row>
    <row r="705" spans="1:16">
      <c r="A705" s="329"/>
      <c r="B705" s="338"/>
      <c r="C705" s="678"/>
      <c r="D705" s="369"/>
      <c r="E705" s="679"/>
      <c r="F705" s="679"/>
      <c r="G705" s="679"/>
      <c r="H705" s="680"/>
      <c r="I705" s="357"/>
      <c r="J705" s="675"/>
      <c r="K705" s="676"/>
      <c r="L705" s="676"/>
      <c r="M705" s="677"/>
      <c r="N705" s="369"/>
      <c r="O705" s="338"/>
      <c r="P705" s="681"/>
    </row>
    <row r="706" spans="1:16">
      <c r="A706" s="329"/>
      <c r="B706" s="338"/>
      <c r="C706" s="678"/>
      <c r="D706" s="369"/>
      <c r="E706" s="679"/>
      <c r="F706" s="679"/>
      <c r="G706" s="679"/>
      <c r="H706" s="680"/>
      <c r="I706" s="357"/>
      <c r="J706" s="675"/>
      <c r="K706" s="676"/>
      <c r="L706" s="676"/>
      <c r="M706" s="677"/>
      <c r="N706" s="369"/>
      <c r="O706" s="338"/>
      <c r="P706" s="681"/>
    </row>
    <row r="707" spans="1:16">
      <c r="A707" s="329"/>
      <c r="B707" s="338"/>
      <c r="C707" s="678"/>
      <c r="D707" s="369"/>
      <c r="E707" s="679"/>
      <c r="F707" s="679"/>
      <c r="G707" s="679"/>
      <c r="H707" s="680"/>
      <c r="I707" s="357"/>
      <c r="J707" s="675"/>
      <c r="K707" s="676"/>
      <c r="L707" s="676"/>
      <c r="M707" s="677"/>
      <c r="N707" s="369"/>
      <c r="O707" s="338"/>
      <c r="P707" s="681"/>
    </row>
    <row r="708" spans="1:16">
      <c r="A708" s="329"/>
      <c r="B708" s="338"/>
      <c r="C708" s="678"/>
      <c r="D708" s="369"/>
      <c r="E708" s="679"/>
      <c r="F708" s="679"/>
      <c r="G708" s="679"/>
      <c r="H708" s="680"/>
      <c r="I708" s="357"/>
      <c r="J708" s="675"/>
      <c r="K708" s="676"/>
      <c r="L708" s="676"/>
      <c r="M708" s="677"/>
      <c r="N708" s="369"/>
      <c r="O708" s="338"/>
      <c r="P708" s="681"/>
    </row>
    <row r="709" spans="1:16">
      <c r="A709" s="329"/>
      <c r="B709" s="338"/>
      <c r="C709" s="678"/>
      <c r="D709" s="369"/>
      <c r="E709" s="679"/>
      <c r="F709" s="679"/>
      <c r="G709" s="679"/>
      <c r="H709" s="680"/>
      <c r="I709" s="357"/>
      <c r="J709" s="675"/>
      <c r="K709" s="676"/>
      <c r="L709" s="676"/>
      <c r="M709" s="677"/>
      <c r="N709" s="369"/>
      <c r="O709" s="338"/>
      <c r="P709" s="681"/>
    </row>
    <row r="710" spans="1:16">
      <c r="A710" s="329"/>
      <c r="B710" s="338"/>
      <c r="C710" s="678"/>
      <c r="D710" s="369"/>
      <c r="E710" s="679"/>
      <c r="F710" s="679"/>
      <c r="G710" s="679"/>
      <c r="H710" s="680"/>
      <c r="I710" s="357"/>
      <c r="J710" s="675"/>
      <c r="K710" s="676"/>
      <c r="L710" s="676"/>
      <c r="M710" s="677"/>
      <c r="N710" s="369"/>
      <c r="O710" s="338"/>
      <c r="P710" s="681"/>
    </row>
    <row r="711" spans="1:16">
      <c r="A711" s="329"/>
      <c r="B711" s="338"/>
      <c r="C711" s="678"/>
      <c r="D711" s="369"/>
      <c r="E711" s="679"/>
      <c r="F711" s="679"/>
      <c r="G711" s="679"/>
      <c r="H711" s="680"/>
      <c r="I711" s="357"/>
      <c r="J711" s="675"/>
      <c r="K711" s="676"/>
      <c r="L711" s="676"/>
      <c r="M711" s="677"/>
      <c r="N711" s="369"/>
      <c r="O711" s="338"/>
      <c r="P711" s="681"/>
    </row>
    <row r="712" spans="1:16">
      <c r="A712" s="329"/>
      <c r="B712" s="338"/>
      <c r="C712" s="678"/>
      <c r="D712" s="369"/>
      <c r="E712" s="679"/>
      <c r="F712" s="679"/>
      <c r="G712" s="679"/>
      <c r="H712" s="680"/>
      <c r="I712" s="357"/>
      <c r="J712" s="675"/>
      <c r="K712" s="676"/>
      <c r="L712" s="676"/>
      <c r="M712" s="677"/>
      <c r="N712" s="369"/>
      <c r="O712" s="338"/>
      <c r="P712" s="681"/>
    </row>
    <row r="713" spans="1:16">
      <c r="A713" s="329"/>
      <c r="B713" s="338"/>
      <c r="C713" s="678"/>
      <c r="D713" s="369"/>
      <c r="E713" s="679"/>
      <c r="F713" s="679"/>
      <c r="G713" s="679"/>
      <c r="H713" s="680"/>
      <c r="I713" s="357"/>
      <c r="J713" s="675"/>
      <c r="K713" s="676"/>
      <c r="L713" s="676"/>
      <c r="M713" s="677"/>
      <c r="N713" s="369"/>
      <c r="O713" s="338"/>
      <c r="P713" s="681"/>
    </row>
    <row r="714" spans="1:16">
      <c r="A714" s="329"/>
      <c r="B714" s="338"/>
      <c r="C714" s="678"/>
      <c r="D714" s="369"/>
      <c r="E714" s="679"/>
      <c r="F714" s="679"/>
      <c r="G714" s="679"/>
      <c r="H714" s="680"/>
      <c r="I714" s="357"/>
      <c r="J714" s="675"/>
      <c r="K714" s="676"/>
      <c r="L714" s="676"/>
      <c r="M714" s="677"/>
      <c r="N714" s="369"/>
      <c r="O714" s="338"/>
      <c r="P714" s="681"/>
    </row>
    <row r="715" spans="1:16">
      <c r="A715" s="329"/>
      <c r="B715" s="338"/>
      <c r="C715" s="678"/>
      <c r="D715" s="369"/>
      <c r="E715" s="679"/>
      <c r="F715" s="679"/>
      <c r="G715" s="679"/>
      <c r="H715" s="680"/>
      <c r="I715" s="357"/>
      <c r="J715" s="675"/>
      <c r="K715" s="676"/>
      <c r="L715" s="676"/>
      <c r="M715" s="677"/>
      <c r="N715" s="369"/>
      <c r="O715" s="338"/>
      <c r="P715" s="681"/>
    </row>
    <row r="716" spans="1:16">
      <c r="A716" s="329"/>
      <c r="B716" s="338"/>
      <c r="C716" s="678"/>
      <c r="D716" s="369"/>
      <c r="E716" s="679"/>
      <c r="F716" s="679"/>
      <c r="G716" s="679"/>
      <c r="H716" s="680"/>
      <c r="I716" s="357"/>
      <c r="J716" s="675"/>
      <c r="K716" s="676"/>
      <c r="L716" s="676"/>
      <c r="M716" s="677"/>
      <c r="N716" s="369"/>
      <c r="O716" s="338"/>
      <c r="P716" s="681"/>
    </row>
    <row r="717" spans="1:16">
      <c r="A717" s="329"/>
      <c r="B717" s="338"/>
      <c r="C717" s="678"/>
      <c r="D717" s="369"/>
      <c r="E717" s="679"/>
      <c r="F717" s="679"/>
      <c r="G717" s="679"/>
      <c r="H717" s="680"/>
      <c r="I717" s="357"/>
      <c r="J717" s="675"/>
      <c r="K717" s="676"/>
      <c r="L717" s="676"/>
      <c r="M717" s="677"/>
      <c r="N717" s="369"/>
      <c r="O717" s="338"/>
      <c r="P717" s="681"/>
    </row>
    <row r="718" spans="1:16">
      <c r="A718" s="329"/>
      <c r="B718" s="338"/>
      <c r="C718" s="678"/>
      <c r="D718" s="369"/>
      <c r="E718" s="679"/>
      <c r="F718" s="679"/>
      <c r="G718" s="679"/>
      <c r="H718" s="680"/>
      <c r="I718" s="357"/>
      <c r="J718" s="675"/>
      <c r="K718" s="676"/>
      <c r="L718" s="676"/>
      <c r="M718" s="677"/>
      <c r="N718" s="369"/>
      <c r="O718" s="338"/>
      <c r="P718" s="681"/>
    </row>
    <row r="719" spans="1:16">
      <c r="A719" s="329"/>
      <c r="B719" s="338"/>
      <c r="C719" s="678"/>
      <c r="D719" s="369"/>
      <c r="E719" s="679"/>
      <c r="F719" s="679"/>
      <c r="G719" s="679"/>
      <c r="H719" s="680"/>
      <c r="I719" s="357"/>
      <c r="J719" s="675"/>
      <c r="K719" s="676"/>
      <c r="L719" s="676"/>
      <c r="M719" s="677"/>
      <c r="N719" s="369"/>
      <c r="O719" s="338"/>
      <c r="P719" s="681"/>
    </row>
    <row r="720" spans="1:16">
      <c r="A720" s="329"/>
      <c r="B720" s="338"/>
      <c r="C720" s="678"/>
      <c r="D720" s="369"/>
      <c r="E720" s="679"/>
      <c r="F720" s="679"/>
      <c r="G720" s="679"/>
      <c r="H720" s="680"/>
      <c r="I720" s="357"/>
      <c r="J720" s="675"/>
      <c r="K720" s="676"/>
      <c r="L720" s="676"/>
      <c r="M720" s="677"/>
      <c r="N720" s="369"/>
      <c r="O720" s="338"/>
      <c r="P720" s="681"/>
    </row>
    <row r="721" spans="1:16">
      <c r="A721" s="329"/>
      <c r="B721" s="338"/>
      <c r="C721" s="678"/>
      <c r="D721" s="369"/>
      <c r="E721" s="679"/>
      <c r="F721" s="679"/>
      <c r="G721" s="679"/>
      <c r="H721" s="680"/>
      <c r="I721" s="357"/>
      <c r="J721" s="675"/>
      <c r="K721" s="676"/>
      <c r="L721" s="676"/>
      <c r="M721" s="677"/>
      <c r="N721" s="369"/>
      <c r="O721" s="338"/>
      <c r="P721" s="681"/>
    </row>
    <row r="722" spans="1:16">
      <c r="A722" s="329"/>
      <c r="B722" s="338"/>
      <c r="C722" s="678"/>
      <c r="D722" s="369"/>
      <c r="E722" s="679"/>
      <c r="F722" s="679"/>
      <c r="G722" s="679"/>
      <c r="H722" s="680"/>
      <c r="I722" s="357"/>
      <c r="J722" s="675"/>
      <c r="K722" s="676"/>
      <c r="L722" s="676"/>
      <c r="M722" s="677"/>
      <c r="N722" s="369"/>
      <c r="O722" s="338"/>
      <c r="P722" s="681"/>
    </row>
    <row r="723" spans="1:16">
      <c r="A723" s="329"/>
      <c r="B723" s="338"/>
      <c r="C723" s="678"/>
      <c r="D723" s="369"/>
      <c r="E723" s="679"/>
      <c r="F723" s="679"/>
      <c r="G723" s="679"/>
      <c r="H723" s="680"/>
      <c r="I723" s="357"/>
      <c r="J723" s="675"/>
      <c r="K723" s="676"/>
      <c r="L723" s="676"/>
      <c r="M723" s="677"/>
      <c r="N723" s="369"/>
      <c r="O723" s="338"/>
      <c r="P723" s="681"/>
    </row>
    <row r="724" spans="1:16">
      <c r="A724" s="329"/>
      <c r="B724" s="338"/>
      <c r="C724" s="678"/>
      <c r="D724" s="369"/>
      <c r="E724" s="679"/>
      <c r="F724" s="679"/>
      <c r="G724" s="679"/>
      <c r="H724" s="680"/>
      <c r="I724" s="357"/>
      <c r="J724" s="675"/>
      <c r="K724" s="676"/>
      <c r="L724" s="676"/>
      <c r="M724" s="677"/>
      <c r="N724" s="369"/>
      <c r="O724" s="338"/>
      <c r="P724" s="681"/>
    </row>
    <row r="725" spans="1:16">
      <c r="A725" s="329"/>
      <c r="B725" s="338"/>
      <c r="C725" s="678"/>
      <c r="D725" s="369"/>
      <c r="E725" s="679"/>
      <c r="F725" s="679"/>
      <c r="G725" s="679"/>
      <c r="H725" s="680"/>
      <c r="I725" s="357"/>
      <c r="J725" s="675"/>
      <c r="K725" s="676"/>
      <c r="L725" s="676"/>
      <c r="M725" s="677"/>
      <c r="N725" s="369"/>
      <c r="O725" s="338"/>
      <c r="P725" s="681"/>
    </row>
    <row r="726" spans="1:16">
      <c r="A726" s="329"/>
      <c r="B726" s="338"/>
      <c r="C726" s="678"/>
      <c r="D726" s="369"/>
      <c r="E726" s="679"/>
      <c r="F726" s="679"/>
      <c r="G726" s="679"/>
      <c r="H726" s="680"/>
      <c r="I726" s="357"/>
      <c r="J726" s="675"/>
      <c r="K726" s="676"/>
      <c r="L726" s="676"/>
      <c r="M726" s="677"/>
      <c r="N726" s="369"/>
      <c r="O726" s="338"/>
      <c r="P726" s="681"/>
    </row>
    <row r="727" spans="1:16">
      <c r="A727" s="329"/>
      <c r="B727" s="338"/>
      <c r="C727" s="678"/>
      <c r="D727" s="369"/>
      <c r="E727" s="679"/>
      <c r="F727" s="679"/>
      <c r="G727" s="679"/>
      <c r="H727" s="680"/>
      <c r="I727" s="357"/>
      <c r="J727" s="675"/>
      <c r="K727" s="676"/>
      <c r="L727" s="676"/>
      <c r="M727" s="677"/>
      <c r="N727" s="369"/>
      <c r="O727" s="338"/>
      <c r="P727" s="681"/>
    </row>
    <row r="728" spans="1:16">
      <c r="A728" s="329"/>
      <c r="B728" s="338"/>
      <c r="C728" s="678"/>
      <c r="D728" s="369"/>
      <c r="E728" s="679"/>
      <c r="F728" s="679"/>
      <c r="G728" s="679"/>
      <c r="H728" s="680"/>
      <c r="I728" s="357"/>
      <c r="J728" s="675"/>
      <c r="K728" s="676"/>
      <c r="L728" s="676"/>
      <c r="M728" s="677"/>
      <c r="N728" s="369"/>
      <c r="O728" s="338"/>
      <c r="P728" s="681"/>
    </row>
    <row r="729" spans="1:16">
      <c r="A729" s="329"/>
      <c r="B729" s="338"/>
      <c r="C729" s="678"/>
      <c r="D729" s="369"/>
      <c r="E729" s="679"/>
      <c r="F729" s="679"/>
      <c r="G729" s="679"/>
      <c r="H729" s="680"/>
      <c r="I729" s="357"/>
      <c r="J729" s="675"/>
      <c r="K729" s="676"/>
      <c r="L729" s="676"/>
      <c r="M729" s="677"/>
      <c r="N729" s="369"/>
      <c r="O729" s="338"/>
      <c r="P729" s="681"/>
    </row>
    <row r="730" spans="1:16">
      <c r="B730" s="597"/>
      <c r="C730" s="690"/>
      <c r="D730" s="691"/>
      <c r="E730" s="692"/>
      <c r="F730" s="692"/>
      <c r="G730" s="692"/>
      <c r="H730" s="693"/>
      <c r="I730" s="694"/>
      <c r="J730" s="695"/>
      <c r="K730" s="696"/>
      <c r="L730" s="696"/>
      <c r="M730" s="697"/>
      <c r="N730" s="691"/>
      <c r="O730" s="597"/>
      <c r="P730" s="698"/>
    </row>
    <row r="731" spans="1:16">
      <c r="B731" s="597"/>
      <c r="C731" s="690"/>
      <c r="D731" s="691"/>
      <c r="E731" s="692"/>
      <c r="F731" s="692"/>
      <c r="G731" s="692"/>
      <c r="H731" s="693"/>
      <c r="I731" s="694"/>
      <c r="J731" s="695"/>
      <c r="K731" s="696"/>
      <c r="L731" s="696"/>
      <c r="M731" s="697"/>
      <c r="N731" s="691"/>
      <c r="O731" s="597"/>
      <c r="P731" s="698"/>
    </row>
    <row r="732" spans="1:16">
      <c r="B732" s="597"/>
      <c r="C732" s="690"/>
      <c r="D732" s="691"/>
      <c r="E732" s="692"/>
      <c r="F732" s="692"/>
      <c r="G732" s="692"/>
      <c r="H732" s="693"/>
      <c r="I732" s="694"/>
      <c r="J732" s="695"/>
      <c r="K732" s="696"/>
      <c r="L732" s="696"/>
      <c r="M732" s="697"/>
      <c r="N732" s="691"/>
      <c r="O732" s="597"/>
      <c r="P732" s="698"/>
    </row>
    <row r="733" spans="1:16">
      <c r="B733" s="597"/>
      <c r="C733" s="690"/>
      <c r="D733" s="691"/>
      <c r="E733" s="692"/>
      <c r="F733" s="692"/>
      <c r="G733" s="692"/>
      <c r="H733" s="693"/>
      <c r="I733" s="694"/>
      <c r="J733" s="695"/>
      <c r="K733" s="696"/>
      <c r="L733" s="696"/>
      <c r="M733" s="697"/>
      <c r="N733" s="691"/>
      <c r="O733" s="597"/>
      <c r="P733" s="698"/>
    </row>
    <row r="734" spans="1:16">
      <c r="B734" s="597"/>
      <c r="C734" s="690"/>
      <c r="D734" s="691"/>
      <c r="E734" s="692"/>
      <c r="F734" s="692"/>
      <c r="G734" s="692"/>
      <c r="H734" s="693"/>
      <c r="I734" s="694"/>
      <c r="J734" s="695"/>
      <c r="K734" s="696"/>
      <c r="L734" s="696"/>
      <c r="M734" s="697"/>
      <c r="N734" s="691"/>
      <c r="O734" s="597"/>
      <c r="P734" s="698"/>
    </row>
    <row r="735" spans="1:16">
      <c r="B735" s="597"/>
      <c r="C735" s="690"/>
      <c r="D735" s="691"/>
      <c r="E735" s="692"/>
      <c r="F735" s="692"/>
      <c r="G735" s="692"/>
      <c r="H735" s="693"/>
      <c r="I735" s="694"/>
      <c r="J735" s="695"/>
      <c r="K735" s="696"/>
      <c r="L735" s="696"/>
      <c r="M735" s="697"/>
      <c r="N735" s="691"/>
      <c r="O735" s="597"/>
      <c r="P735" s="698"/>
    </row>
    <row r="736" spans="1:16">
      <c r="B736" s="597"/>
      <c r="C736" s="690"/>
      <c r="D736" s="691"/>
      <c r="E736" s="692"/>
      <c r="F736" s="692"/>
      <c r="G736" s="692"/>
      <c r="H736" s="693"/>
      <c r="I736" s="694"/>
      <c r="J736" s="695"/>
      <c r="K736" s="696"/>
      <c r="L736" s="696"/>
      <c r="M736" s="697"/>
      <c r="N736" s="691"/>
      <c r="O736" s="597"/>
      <c r="P736" s="698"/>
    </row>
    <row r="737" spans="2:16">
      <c r="B737" s="597"/>
      <c r="C737" s="690"/>
      <c r="D737" s="691"/>
      <c r="E737" s="692"/>
      <c r="F737" s="692"/>
      <c r="G737" s="692"/>
      <c r="H737" s="693"/>
      <c r="I737" s="694"/>
      <c r="J737" s="695"/>
      <c r="K737" s="696"/>
      <c r="L737" s="696"/>
      <c r="M737" s="697"/>
      <c r="N737" s="691"/>
      <c r="O737" s="597"/>
      <c r="P737" s="698"/>
    </row>
    <row r="738" spans="2:16">
      <c r="B738" s="597"/>
      <c r="C738" s="690"/>
      <c r="D738" s="691"/>
      <c r="E738" s="692"/>
      <c r="F738" s="692"/>
      <c r="G738" s="692"/>
      <c r="H738" s="693"/>
      <c r="I738" s="694"/>
      <c r="J738" s="695"/>
      <c r="K738" s="696"/>
      <c r="L738" s="696"/>
      <c r="M738" s="697"/>
      <c r="N738" s="691"/>
      <c r="O738" s="597"/>
      <c r="P738" s="698"/>
    </row>
    <row r="739" spans="2:16">
      <c r="B739" s="597"/>
      <c r="C739" s="690"/>
      <c r="D739" s="691"/>
      <c r="E739" s="692"/>
      <c r="F739" s="692"/>
      <c r="G739" s="692"/>
      <c r="H739" s="693"/>
      <c r="I739" s="694"/>
      <c r="J739" s="695"/>
      <c r="K739" s="696"/>
      <c r="L739" s="696"/>
      <c r="M739" s="697"/>
      <c r="N739" s="691"/>
      <c r="O739" s="597"/>
      <c r="P739" s="698"/>
    </row>
    <row r="740" spans="2:16">
      <c r="B740" s="597"/>
      <c r="C740" s="690"/>
      <c r="D740" s="691"/>
      <c r="E740" s="692"/>
      <c r="F740" s="692"/>
      <c r="G740" s="692"/>
      <c r="H740" s="693"/>
      <c r="I740" s="694"/>
      <c r="J740" s="695"/>
      <c r="K740" s="696"/>
      <c r="L740" s="696"/>
      <c r="M740" s="697"/>
      <c r="N740" s="691"/>
      <c r="O740" s="597"/>
      <c r="P740" s="698"/>
    </row>
    <row r="741" spans="2:16">
      <c r="B741" s="597"/>
      <c r="C741" s="690"/>
      <c r="D741" s="691"/>
      <c r="E741" s="692"/>
      <c r="F741" s="692"/>
      <c r="G741" s="692"/>
      <c r="H741" s="693"/>
      <c r="I741" s="694"/>
      <c r="J741" s="695"/>
      <c r="K741" s="696"/>
      <c r="L741" s="696"/>
      <c r="M741" s="697"/>
      <c r="N741" s="691"/>
      <c r="O741" s="597"/>
      <c r="P741" s="698"/>
    </row>
    <row r="742" spans="2:16">
      <c r="B742" s="597"/>
      <c r="C742" s="690"/>
      <c r="D742" s="691"/>
      <c r="E742" s="692"/>
      <c r="F742" s="692"/>
      <c r="G742" s="692"/>
      <c r="H742" s="693"/>
      <c r="I742" s="694"/>
      <c r="J742" s="695"/>
      <c r="K742" s="696"/>
      <c r="L742" s="696"/>
      <c r="M742" s="697"/>
      <c r="N742" s="691"/>
      <c r="O742" s="597"/>
      <c r="P742" s="698"/>
    </row>
    <row r="743" spans="2:16">
      <c r="B743" s="597"/>
      <c r="C743" s="690"/>
      <c r="D743" s="691"/>
      <c r="E743" s="692"/>
      <c r="F743" s="692"/>
      <c r="G743" s="692"/>
      <c r="H743" s="693"/>
      <c r="I743" s="694"/>
      <c r="J743" s="695"/>
      <c r="K743" s="696"/>
      <c r="L743" s="696"/>
      <c r="M743" s="697"/>
      <c r="N743" s="691"/>
      <c r="O743" s="597"/>
      <c r="P743" s="698"/>
    </row>
    <row r="744" spans="2:16">
      <c r="B744" s="597"/>
      <c r="C744" s="690"/>
      <c r="D744" s="691"/>
      <c r="E744" s="692"/>
      <c r="F744" s="692"/>
      <c r="G744" s="692"/>
      <c r="H744" s="693"/>
      <c r="I744" s="694"/>
      <c r="J744" s="695"/>
      <c r="K744" s="696"/>
      <c r="L744" s="696"/>
      <c r="M744" s="697"/>
      <c r="N744" s="691"/>
      <c r="O744" s="597"/>
      <c r="P744" s="698"/>
    </row>
    <row r="745" spans="2:16">
      <c r="B745" s="597"/>
      <c r="C745" s="690"/>
      <c r="D745" s="691"/>
      <c r="E745" s="692"/>
      <c r="F745" s="692"/>
      <c r="G745" s="692"/>
      <c r="H745" s="693"/>
      <c r="I745" s="694"/>
      <c r="J745" s="695"/>
      <c r="K745" s="696"/>
      <c r="L745" s="696"/>
      <c r="M745" s="697"/>
      <c r="N745" s="691"/>
      <c r="O745" s="597"/>
      <c r="P745" s="698"/>
    </row>
    <row r="746" spans="2:16">
      <c r="B746" s="597"/>
      <c r="C746" s="690"/>
      <c r="D746" s="691"/>
      <c r="E746" s="692"/>
      <c r="F746" s="692"/>
      <c r="G746" s="692"/>
      <c r="H746" s="693"/>
      <c r="I746" s="694"/>
      <c r="J746" s="695"/>
      <c r="K746" s="696"/>
      <c r="L746" s="696"/>
      <c r="M746" s="697"/>
      <c r="N746" s="691"/>
      <c r="O746" s="597"/>
      <c r="P746" s="698"/>
    </row>
    <row r="747" spans="2:16">
      <c r="B747" s="597"/>
      <c r="C747" s="690"/>
      <c r="D747" s="691"/>
      <c r="E747" s="692"/>
      <c r="F747" s="692"/>
      <c r="G747" s="692"/>
      <c r="H747" s="693"/>
      <c r="I747" s="694"/>
      <c r="J747" s="695"/>
      <c r="K747" s="696"/>
      <c r="L747" s="696"/>
      <c r="M747" s="697"/>
      <c r="N747" s="691"/>
      <c r="O747" s="597"/>
      <c r="P747" s="698"/>
    </row>
    <row r="748" spans="2:16">
      <c r="B748" s="597"/>
      <c r="C748" s="690"/>
      <c r="D748" s="691"/>
      <c r="E748" s="692"/>
      <c r="F748" s="692"/>
      <c r="G748" s="692"/>
      <c r="H748" s="693"/>
      <c r="I748" s="694"/>
      <c r="J748" s="695"/>
      <c r="K748" s="696"/>
      <c r="L748" s="696"/>
      <c r="M748" s="697"/>
      <c r="N748" s="691"/>
      <c r="O748" s="597"/>
      <c r="P748" s="698"/>
    </row>
    <row r="749" spans="2:16">
      <c r="B749" s="597"/>
      <c r="C749" s="690"/>
      <c r="D749" s="691"/>
      <c r="E749" s="692"/>
      <c r="F749" s="692"/>
      <c r="G749" s="692"/>
      <c r="H749" s="693"/>
      <c r="I749" s="694"/>
      <c r="J749" s="695"/>
      <c r="K749" s="696"/>
      <c r="L749" s="696"/>
      <c r="M749" s="697"/>
      <c r="N749" s="691"/>
      <c r="O749" s="597"/>
      <c r="P749" s="698"/>
    </row>
    <row r="750" spans="2:16">
      <c r="B750" s="597"/>
      <c r="C750" s="690"/>
      <c r="D750" s="691"/>
      <c r="E750" s="692"/>
      <c r="F750" s="692"/>
      <c r="G750" s="692"/>
      <c r="H750" s="693"/>
      <c r="I750" s="694"/>
      <c r="J750" s="695"/>
      <c r="K750" s="696"/>
      <c r="L750" s="696"/>
      <c r="M750" s="697"/>
      <c r="N750" s="691"/>
      <c r="O750" s="597"/>
      <c r="P750" s="698"/>
    </row>
    <row r="751" spans="2:16">
      <c r="B751" s="597"/>
      <c r="C751" s="690"/>
      <c r="D751" s="691"/>
      <c r="E751" s="692"/>
      <c r="F751" s="692"/>
      <c r="G751" s="692"/>
      <c r="H751" s="693"/>
      <c r="I751" s="694"/>
      <c r="J751" s="695"/>
      <c r="K751" s="696"/>
      <c r="L751" s="696"/>
      <c r="M751" s="697"/>
      <c r="N751" s="691"/>
      <c r="O751" s="597"/>
      <c r="P751" s="698"/>
    </row>
    <row r="752" spans="2:16">
      <c r="B752" s="597"/>
      <c r="C752" s="690"/>
      <c r="D752" s="691"/>
      <c r="E752" s="692"/>
      <c r="F752" s="692"/>
      <c r="G752" s="692"/>
      <c r="H752" s="693"/>
      <c r="I752" s="694"/>
      <c r="J752" s="695"/>
      <c r="K752" s="696"/>
      <c r="L752" s="696"/>
      <c r="M752" s="697"/>
      <c r="N752" s="691"/>
      <c r="O752" s="597"/>
      <c r="P752" s="698"/>
    </row>
    <row r="753" spans="2:16">
      <c r="B753" s="597"/>
      <c r="C753" s="690"/>
      <c r="D753" s="691"/>
      <c r="E753" s="692"/>
      <c r="F753" s="692"/>
      <c r="G753" s="692"/>
      <c r="H753" s="693"/>
      <c r="I753" s="694"/>
      <c r="J753" s="695"/>
      <c r="K753" s="696"/>
      <c r="L753" s="696"/>
      <c r="M753" s="697"/>
      <c r="N753" s="691"/>
      <c r="O753" s="597"/>
      <c r="P753" s="698"/>
    </row>
    <row r="754" spans="2:16">
      <c r="B754" s="597"/>
      <c r="C754" s="690"/>
      <c r="D754" s="691"/>
      <c r="E754" s="692"/>
      <c r="F754" s="692"/>
      <c r="G754" s="692"/>
      <c r="H754" s="693"/>
      <c r="I754" s="694"/>
      <c r="J754" s="695"/>
      <c r="K754" s="696"/>
      <c r="L754" s="696"/>
      <c r="M754" s="697"/>
      <c r="N754" s="691"/>
      <c r="O754" s="597"/>
      <c r="P754" s="698"/>
    </row>
    <row r="755" spans="2:16">
      <c r="B755" s="597"/>
      <c r="C755" s="690"/>
      <c r="D755" s="691"/>
      <c r="E755" s="692"/>
      <c r="F755" s="692"/>
      <c r="G755" s="692"/>
      <c r="H755" s="693"/>
      <c r="I755" s="694"/>
      <c r="J755" s="695"/>
      <c r="K755" s="696"/>
      <c r="L755" s="696"/>
      <c r="M755" s="697"/>
      <c r="N755" s="691"/>
      <c r="O755" s="597"/>
      <c r="P755" s="698"/>
    </row>
    <row r="756" spans="2:16">
      <c r="B756" s="597"/>
      <c r="C756" s="690"/>
      <c r="D756" s="691"/>
      <c r="E756" s="692"/>
      <c r="F756" s="692"/>
      <c r="G756" s="692"/>
      <c r="H756" s="693"/>
      <c r="I756" s="694"/>
      <c r="J756" s="695"/>
      <c r="K756" s="696"/>
      <c r="L756" s="696"/>
      <c r="M756" s="697"/>
      <c r="N756" s="691"/>
      <c r="O756" s="597"/>
      <c r="P756" s="698"/>
    </row>
    <row r="757" spans="2:16">
      <c r="B757" s="597"/>
      <c r="C757" s="690"/>
      <c r="D757" s="691"/>
      <c r="E757" s="692"/>
      <c r="F757" s="692"/>
      <c r="G757" s="692"/>
      <c r="H757" s="693"/>
      <c r="I757" s="694"/>
      <c r="J757" s="695"/>
      <c r="K757" s="696"/>
      <c r="L757" s="696"/>
      <c r="M757" s="697"/>
      <c r="N757" s="691"/>
      <c r="O757" s="597"/>
      <c r="P757" s="698"/>
    </row>
    <row r="758" spans="2:16">
      <c r="B758" s="597"/>
      <c r="C758" s="690"/>
      <c r="D758" s="691"/>
      <c r="E758" s="692"/>
      <c r="F758" s="692"/>
      <c r="G758" s="692"/>
      <c r="H758" s="693"/>
      <c r="I758" s="694"/>
      <c r="J758" s="695"/>
      <c r="K758" s="696"/>
      <c r="L758" s="696"/>
      <c r="M758" s="697"/>
      <c r="N758" s="691"/>
      <c r="O758" s="597"/>
      <c r="P758" s="698"/>
    </row>
    <row r="759" spans="2:16">
      <c r="B759" s="597"/>
      <c r="C759" s="690"/>
      <c r="D759" s="691"/>
      <c r="E759" s="692"/>
      <c r="F759" s="692"/>
      <c r="G759" s="692"/>
      <c r="H759" s="693"/>
      <c r="I759" s="694"/>
      <c r="J759" s="695"/>
      <c r="K759" s="696"/>
      <c r="L759" s="696"/>
      <c r="M759" s="697"/>
      <c r="N759" s="691"/>
      <c r="O759" s="597"/>
      <c r="P759" s="698"/>
    </row>
    <row r="760" spans="2:16">
      <c r="B760" s="597"/>
      <c r="C760" s="690"/>
      <c r="D760" s="691"/>
      <c r="E760" s="692"/>
      <c r="F760" s="692"/>
      <c r="G760" s="692"/>
      <c r="H760" s="693"/>
      <c r="I760" s="694"/>
      <c r="J760" s="695"/>
      <c r="K760" s="696"/>
      <c r="L760" s="696"/>
      <c r="M760" s="697"/>
      <c r="N760" s="691"/>
      <c r="O760" s="597"/>
      <c r="P760" s="698"/>
    </row>
    <row r="761" spans="2:16">
      <c r="B761" s="597"/>
      <c r="C761" s="690"/>
      <c r="D761" s="691"/>
      <c r="E761" s="692"/>
      <c r="F761" s="692"/>
      <c r="G761" s="692"/>
      <c r="H761" s="693"/>
      <c r="I761" s="694"/>
      <c r="J761" s="695"/>
      <c r="K761" s="696"/>
      <c r="L761" s="696"/>
      <c r="M761" s="697"/>
      <c r="N761" s="691"/>
      <c r="O761" s="597"/>
      <c r="P761" s="698"/>
    </row>
    <row r="762" spans="2:16">
      <c r="B762" s="597"/>
      <c r="C762" s="690"/>
      <c r="D762" s="691"/>
      <c r="E762" s="692"/>
      <c r="F762" s="692"/>
      <c r="G762" s="692"/>
      <c r="H762" s="693"/>
      <c r="I762" s="694"/>
      <c r="J762" s="695"/>
      <c r="K762" s="696"/>
      <c r="L762" s="696"/>
      <c r="M762" s="697"/>
      <c r="N762" s="691"/>
      <c r="O762" s="597"/>
      <c r="P762" s="698"/>
    </row>
    <row r="763" spans="2:16">
      <c r="B763" s="597"/>
      <c r="C763" s="690"/>
      <c r="D763" s="691"/>
      <c r="E763" s="692"/>
      <c r="F763" s="692"/>
      <c r="G763" s="692"/>
      <c r="H763" s="693"/>
      <c r="I763" s="694"/>
      <c r="J763" s="695"/>
      <c r="K763" s="696"/>
      <c r="L763" s="696"/>
      <c r="M763" s="697"/>
      <c r="N763" s="691"/>
      <c r="O763" s="597"/>
      <c r="P763" s="698"/>
    </row>
    <row r="764" spans="2:16">
      <c r="B764" s="597"/>
      <c r="C764" s="690"/>
      <c r="D764" s="691"/>
      <c r="E764" s="692"/>
      <c r="F764" s="692"/>
      <c r="G764" s="692"/>
      <c r="H764" s="693"/>
      <c r="I764" s="694"/>
      <c r="J764" s="695"/>
      <c r="K764" s="696"/>
      <c r="L764" s="696"/>
      <c r="M764" s="697"/>
      <c r="N764" s="691"/>
      <c r="O764" s="597"/>
      <c r="P764" s="698"/>
    </row>
    <row r="765" spans="2:16">
      <c r="B765" s="597"/>
      <c r="C765" s="690"/>
      <c r="D765" s="691"/>
      <c r="E765" s="692"/>
      <c r="F765" s="692"/>
      <c r="G765" s="692"/>
      <c r="H765" s="693"/>
      <c r="I765" s="694"/>
      <c r="J765" s="695"/>
      <c r="K765" s="696"/>
      <c r="L765" s="696"/>
      <c r="M765" s="697"/>
      <c r="N765" s="691"/>
      <c r="O765" s="597"/>
      <c r="P765" s="698"/>
    </row>
    <row r="766" spans="2:16">
      <c r="B766" s="597"/>
      <c r="C766" s="690"/>
      <c r="D766" s="691"/>
      <c r="E766" s="692"/>
      <c r="F766" s="692"/>
      <c r="G766" s="692"/>
      <c r="H766" s="693"/>
      <c r="I766" s="694"/>
      <c r="J766" s="695"/>
      <c r="K766" s="696"/>
      <c r="L766" s="696"/>
      <c r="M766" s="697"/>
      <c r="N766" s="691"/>
      <c r="O766" s="597"/>
      <c r="P766" s="698"/>
    </row>
    <row r="767" spans="2:16">
      <c r="B767" s="597"/>
      <c r="C767" s="690"/>
      <c r="D767" s="691"/>
      <c r="E767" s="692"/>
      <c r="F767" s="692"/>
      <c r="G767" s="692"/>
      <c r="H767" s="693"/>
      <c r="I767" s="694"/>
      <c r="J767" s="695"/>
      <c r="K767" s="696"/>
      <c r="L767" s="696"/>
      <c r="M767" s="697"/>
      <c r="N767" s="691"/>
      <c r="O767" s="597"/>
      <c r="P767" s="698"/>
    </row>
    <row r="768" spans="2:16">
      <c r="B768" s="597"/>
      <c r="C768" s="690"/>
      <c r="D768" s="691"/>
      <c r="E768" s="692"/>
      <c r="F768" s="692"/>
      <c r="G768" s="692"/>
      <c r="H768" s="693"/>
      <c r="I768" s="694"/>
      <c r="J768" s="695"/>
      <c r="K768" s="696"/>
      <c r="L768" s="696"/>
      <c r="M768" s="697"/>
      <c r="N768" s="691"/>
      <c r="O768" s="597"/>
      <c r="P768" s="698"/>
    </row>
    <row r="769" spans="2:16">
      <c r="B769" s="597"/>
      <c r="C769" s="690"/>
      <c r="D769" s="691"/>
      <c r="E769" s="692"/>
      <c r="F769" s="692"/>
      <c r="G769" s="692"/>
      <c r="H769" s="693"/>
      <c r="I769" s="694"/>
      <c r="J769" s="695"/>
      <c r="K769" s="696"/>
      <c r="L769" s="696"/>
      <c r="M769" s="697"/>
      <c r="N769" s="691"/>
      <c r="O769" s="597"/>
      <c r="P769" s="698"/>
    </row>
    <row r="770" spans="2:16">
      <c r="B770" s="597"/>
      <c r="C770" s="690"/>
      <c r="D770" s="691"/>
      <c r="E770" s="692"/>
      <c r="F770" s="692"/>
      <c r="G770" s="692"/>
      <c r="H770" s="693"/>
      <c r="I770" s="694"/>
      <c r="J770" s="695"/>
      <c r="K770" s="696"/>
      <c r="L770" s="696"/>
      <c r="M770" s="697"/>
      <c r="N770" s="691"/>
      <c r="O770" s="597"/>
      <c r="P770" s="698"/>
    </row>
    <row r="771" spans="2:16">
      <c r="B771" s="597"/>
      <c r="C771" s="690"/>
      <c r="D771" s="691"/>
      <c r="E771" s="692"/>
      <c r="F771" s="692"/>
      <c r="G771" s="692"/>
      <c r="H771" s="693"/>
      <c r="I771" s="694"/>
      <c r="J771" s="695"/>
      <c r="K771" s="696"/>
      <c r="L771" s="696"/>
      <c r="M771" s="697"/>
      <c r="N771" s="691"/>
      <c r="O771" s="597"/>
      <c r="P771" s="698"/>
    </row>
    <row r="772" spans="2:16">
      <c r="B772" s="597"/>
      <c r="C772" s="690"/>
      <c r="D772" s="691"/>
      <c r="E772" s="692"/>
      <c r="F772" s="692"/>
      <c r="G772" s="692"/>
      <c r="H772" s="693"/>
      <c r="I772" s="694"/>
      <c r="J772" s="695"/>
      <c r="K772" s="696"/>
      <c r="L772" s="696"/>
      <c r="M772" s="697"/>
      <c r="N772" s="691"/>
      <c r="O772" s="597"/>
      <c r="P772" s="698"/>
    </row>
    <row r="773" spans="2:16">
      <c r="B773" s="597"/>
      <c r="C773" s="690"/>
      <c r="D773" s="691"/>
      <c r="E773" s="692"/>
      <c r="F773" s="692"/>
      <c r="G773" s="692"/>
      <c r="H773" s="693"/>
      <c r="I773" s="694"/>
      <c r="J773" s="695"/>
      <c r="K773" s="696"/>
      <c r="L773" s="696"/>
      <c r="M773" s="697"/>
      <c r="N773" s="691"/>
      <c r="O773" s="597"/>
      <c r="P773" s="698"/>
    </row>
    <row r="774" spans="2:16">
      <c r="B774" s="597"/>
      <c r="C774" s="690"/>
      <c r="D774" s="691"/>
      <c r="E774" s="692"/>
      <c r="F774" s="692"/>
      <c r="G774" s="692"/>
      <c r="H774" s="693"/>
      <c r="I774" s="694"/>
      <c r="J774" s="695"/>
      <c r="K774" s="696"/>
      <c r="L774" s="696"/>
      <c r="M774" s="697"/>
      <c r="N774" s="691"/>
      <c r="O774" s="597"/>
      <c r="P774" s="698"/>
    </row>
    <row r="775" spans="2:16">
      <c r="B775" s="597"/>
      <c r="C775" s="690"/>
      <c r="D775" s="691"/>
      <c r="E775" s="692"/>
      <c r="F775" s="692"/>
      <c r="G775" s="692"/>
      <c r="H775" s="693"/>
      <c r="I775" s="694"/>
      <c r="J775" s="695"/>
      <c r="K775" s="696"/>
      <c r="L775" s="696"/>
      <c r="M775" s="697"/>
      <c r="N775" s="691"/>
      <c r="O775" s="597"/>
      <c r="P775" s="698"/>
    </row>
    <row r="776" spans="2:16">
      <c r="B776" s="597"/>
      <c r="C776" s="690"/>
      <c r="D776" s="691"/>
      <c r="E776" s="692"/>
      <c r="F776" s="692"/>
      <c r="G776" s="692"/>
      <c r="H776" s="693"/>
      <c r="I776" s="694"/>
      <c r="J776" s="695"/>
      <c r="K776" s="696"/>
      <c r="L776" s="696"/>
      <c r="M776" s="697"/>
      <c r="N776" s="691"/>
      <c r="O776" s="597"/>
      <c r="P776" s="698"/>
    </row>
    <row r="777" spans="2:16">
      <c r="B777" s="597"/>
      <c r="C777" s="690"/>
      <c r="D777" s="691"/>
      <c r="E777" s="692"/>
      <c r="F777" s="692"/>
      <c r="G777" s="692"/>
      <c r="H777" s="693"/>
      <c r="I777" s="694"/>
      <c r="J777" s="695"/>
      <c r="K777" s="696"/>
      <c r="L777" s="696"/>
      <c r="M777" s="697"/>
      <c r="N777" s="691"/>
      <c r="O777" s="597"/>
      <c r="P777" s="698"/>
    </row>
    <row r="778" spans="2:16">
      <c r="B778" s="597"/>
      <c r="C778" s="690"/>
      <c r="D778" s="691"/>
      <c r="E778" s="692"/>
      <c r="F778" s="692"/>
      <c r="G778" s="692"/>
      <c r="H778" s="693"/>
      <c r="I778" s="694"/>
      <c r="J778" s="695"/>
      <c r="K778" s="696"/>
      <c r="L778" s="696"/>
      <c r="M778" s="697"/>
      <c r="N778" s="691"/>
      <c r="O778" s="597"/>
      <c r="P778" s="698"/>
    </row>
    <row r="779" spans="2:16">
      <c r="B779" s="597"/>
      <c r="C779" s="690"/>
      <c r="D779" s="691"/>
      <c r="E779" s="692"/>
      <c r="F779" s="692"/>
      <c r="G779" s="692"/>
      <c r="H779" s="693"/>
      <c r="I779" s="694"/>
      <c r="J779" s="695"/>
      <c r="K779" s="696"/>
      <c r="L779" s="696"/>
      <c r="M779" s="697"/>
      <c r="N779" s="691"/>
      <c r="O779" s="597"/>
      <c r="P779" s="698"/>
    </row>
    <row r="780" spans="2:16">
      <c r="B780" s="597"/>
      <c r="C780" s="690"/>
      <c r="D780" s="691"/>
      <c r="E780" s="692"/>
      <c r="F780" s="692"/>
      <c r="G780" s="692"/>
      <c r="H780" s="693"/>
      <c r="I780" s="694"/>
      <c r="J780" s="695"/>
      <c r="K780" s="696"/>
      <c r="L780" s="696"/>
      <c r="M780" s="697"/>
      <c r="N780" s="691"/>
      <c r="O780" s="597"/>
      <c r="P780" s="698"/>
    </row>
    <row r="781" spans="2:16">
      <c r="B781" s="597"/>
      <c r="C781" s="690"/>
      <c r="D781" s="691"/>
      <c r="E781" s="692"/>
      <c r="F781" s="692"/>
      <c r="G781" s="692"/>
      <c r="H781" s="693"/>
      <c r="I781" s="694"/>
      <c r="J781" s="695"/>
      <c r="K781" s="696"/>
      <c r="L781" s="696"/>
      <c r="M781" s="697"/>
      <c r="N781" s="691"/>
      <c r="O781" s="597"/>
      <c r="P781" s="698"/>
    </row>
    <row r="782" spans="2:16">
      <c r="B782" s="597"/>
      <c r="C782" s="690"/>
      <c r="D782" s="691"/>
      <c r="E782" s="692"/>
      <c r="F782" s="692"/>
      <c r="G782" s="692"/>
      <c r="H782" s="693"/>
      <c r="I782" s="694"/>
      <c r="J782" s="695"/>
      <c r="K782" s="696"/>
      <c r="L782" s="696"/>
      <c r="M782" s="697"/>
      <c r="N782" s="691"/>
      <c r="O782" s="597"/>
      <c r="P782" s="698"/>
    </row>
    <row r="783" spans="2:16">
      <c r="B783" s="597"/>
      <c r="C783" s="690"/>
      <c r="D783" s="691"/>
      <c r="E783" s="692"/>
      <c r="F783" s="692"/>
      <c r="G783" s="692"/>
      <c r="H783" s="693"/>
      <c r="I783" s="694"/>
      <c r="J783" s="695"/>
      <c r="K783" s="696"/>
      <c r="L783" s="696"/>
      <c r="M783" s="697"/>
      <c r="N783" s="691"/>
      <c r="O783" s="597"/>
      <c r="P783" s="698"/>
    </row>
    <row r="784" spans="2:16">
      <c r="B784" s="597"/>
      <c r="C784" s="690"/>
      <c r="D784" s="691"/>
      <c r="E784" s="692"/>
      <c r="F784" s="692"/>
      <c r="G784" s="692"/>
      <c r="H784" s="693"/>
      <c r="I784" s="694"/>
      <c r="J784" s="695"/>
      <c r="K784" s="696"/>
      <c r="L784" s="696"/>
      <c r="M784" s="697"/>
      <c r="N784" s="691"/>
      <c r="O784" s="597"/>
      <c r="P784" s="698"/>
    </row>
    <row r="785" spans="2:16">
      <c r="B785" s="597"/>
      <c r="C785" s="690"/>
      <c r="D785" s="691"/>
      <c r="E785" s="692"/>
      <c r="F785" s="692"/>
      <c r="G785" s="692"/>
      <c r="H785" s="693"/>
      <c r="I785" s="694"/>
      <c r="J785" s="695"/>
      <c r="K785" s="696"/>
      <c r="L785" s="696"/>
      <c r="M785" s="697"/>
      <c r="N785" s="691"/>
      <c r="O785" s="597"/>
      <c r="P785" s="698"/>
    </row>
    <row r="786" spans="2:16">
      <c r="B786" s="597"/>
      <c r="C786" s="690"/>
      <c r="D786" s="691"/>
      <c r="E786" s="692"/>
      <c r="F786" s="692"/>
      <c r="G786" s="692"/>
      <c r="H786" s="693"/>
      <c r="I786" s="694"/>
      <c r="J786" s="695"/>
      <c r="K786" s="696"/>
      <c r="L786" s="696"/>
      <c r="M786" s="697"/>
      <c r="N786" s="691"/>
      <c r="O786" s="597"/>
      <c r="P786" s="698"/>
    </row>
    <row r="787" spans="2:16">
      <c r="B787" s="597"/>
      <c r="C787" s="690"/>
      <c r="D787" s="691"/>
      <c r="E787" s="692"/>
      <c r="F787" s="692"/>
      <c r="G787" s="692"/>
      <c r="H787" s="693"/>
      <c r="I787" s="694"/>
      <c r="J787" s="695"/>
      <c r="K787" s="696"/>
      <c r="L787" s="696"/>
      <c r="M787" s="697"/>
      <c r="N787" s="691"/>
      <c r="O787" s="597"/>
      <c r="P787" s="698"/>
    </row>
    <row r="788" spans="2:16">
      <c r="B788" s="597"/>
      <c r="C788" s="690"/>
      <c r="D788" s="691"/>
      <c r="E788" s="692"/>
      <c r="F788" s="692"/>
      <c r="G788" s="692"/>
      <c r="H788" s="693"/>
      <c r="I788" s="694"/>
      <c r="J788" s="695"/>
      <c r="K788" s="696"/>
      <c r="L788" s="696"/>
      <c r="M788" s="697"/>
      <c r="N788" s="691"/>
      <c r="O788" s="597"/>
      <c r="P788" s="698"/>
    </row>
    <row r="789" spans="2:16">
      <c r="B789" s="597"/>
      <c r="C789" s="690"/>
      <c r="D789" s="691"/>
      <c r="E789" s="692"/>
      <c r="F789" s="692"/>
      <c r="G789" s="692"/>
      <c r="H789" s="693"/>
      <c r="I789" s="694"/>
      <c r="J789" s="695"/>
      <c r="K789" s="696"/>
      <c r="L789" s="696"/>
      <c r="M789" s="697"/>
      <c r="N789" s="691"/>
      <c r="O789" s="597"/>
      <c r="P789" s="698"/>
    </row>
    <row r="790" spans="2:16">
      <c r="B790" s="597"/>
      <c r="C790" s="690"/>
      <c r="D790" s="691"/>
      <c r="E790" s="692"/>
      <c r="F790" s="692"/>
      <c r="G790" s="692"/>
      <c r="H790" s="693"/>
      <c r="I790" s="694"/>
      <c r="J790" s="695"/>
      <c r="K790" s="696"/>
      <c r="L790" s="696"/>
      <c r="M790" s="697"/>
      <c r="N790" s="691"/>
      <c r="O790" s="597"/>
      <c r="P790" s="698"/>
    </row>
    <row r="791" spans="2:16">
      <c r="B791" s="597"/>
      <c r="C791" s="690"/>
      <c r="D791" s="691"/>
      <c r="E791" s="692"/>
      <c r="F791" s="692"/>
      <c r="G791" s="692"/>
      <c r="H791" s="693"/>
      <c r="I791" s="694"/>
      <c r="J791" s="695"/>
      <c r="K791" s="696"/>
      <c r="L791" s="696"/>
      <c r="M791" s="697"/>
      <c r="N791" s="691"/>
      <c r="O791" s="597"/>
      <c r="P791" s="698"/>
    </row>
    <row r="792" spans="2:16">
      <c r="B792" s="597"/>
      <c r="C792" s="690"/>
      <c r="D792" s="691"/>
      <c r="E792" s="692"/>
      <c r="F792" s="692"/>
      <c r="G792" s="692"/>
      <c r="H792" s="693"/>
      <c r="I792" s="694"/>
      <c r="J792" s="695"/>
      <c r="K792" s="696"/>
      <c r="L792" s="696"/>
      <c r="M792" s="697"/>
      <c r="N792" s="691"/>
      <c r="O792" s="597"/>
      <c r="P792" s="698"/>
    </row>
    <row r="793" spans="2:16">
      <c r="B793" s="597"/>
      <c r="C793" s="690"/>
      <c r="D793" s="691"/>
      <c r="E793" s="692"/>
      <c r="F793" s="692"/>
      <c r="G793" s="692"/>
      <c r="H793" s="693"/>
      <c r="I793" s="694"/>
      <c r="J793" s="695"/>
      <c r="K793" s="696"/>
      <c r="L793" s="696"/>
      <c r="M793" s="697"/>
      <c r="N793" s="691"/>
      <c r="O793" s="597"/>
      <c r="P793" s="698"/>
    </row>
    <row r="794" spans="2:16">
      <c r="B794" s="597"/>
      <c r="C794" s="690"/>
      <c r="D794" s="691"/>
      <c r="E794" s="692"/>
      <c r="F794" s="692"/>
      <c r="G794" s="692"/>
      <c r="H794" s="693"/>
      <c r="I794" s="694"/>
      <c r="J794" s="695"/>
      <c r="K794" s="696"/>
      <c r="L794" s="696"/>
      <c r="M794" s="697"/>
      <c r="N794" s="691"/>
      <c r="O794" s="597"/>
      <c r="P794" s="698"/>
    </row>
    <row r="795" spans="2:16">
      <c r="B795" s="597"/>
      <c r="C795" s="690"/>
      <c r="D795" s="691"/>
      <c r="E795" s="692"/>
      <c r="F795" s="692"/>
      <c r="G795" s="692"/>
      <c r="H795" s="693"/>
      <c r="I795" s="694"/>
      <c r="J795" s="695"/>
      <c r="K795" s="696"/>
      <c r="L795" s="696"/>
      <c r="M795" s="697"/>
      <c r="N795" s="691"/>
      <c r="O795" s="597"/>
      <c r="P795" s="698"/>
    </row>
    <row r="796" spans="2:16">
      <c r="B796" s="597"/>
      <c r="C796" s="690"/>
      <c r="D796" s="691"/>
      <c r="E796" s="692"/>
      <c r="F796" s="692"/>
      <c r="G796" s="692"/>
      <c r="H796" s="693"/>
      <c r="I796" s="694"/>
      <c r="J796" s="695"/>
      <c r="K796" s="696"/>
      <c r="L796" s="696"/>
      <c r="M796" s="697"/>
      <c r="N796" s="691"/>
      <c r="O796" s="597"/>
      <c r="P796" s="698"/>
    </row>
    <row r="797" spans="2:16">
      <c r="B797" s="597"/>
      <c r="C797" s="690"/>
      <c r="D797" s="691"/>
      <c r="E797" s="692"/>
      <c r="F797" s="692"/>
      <c r="G797" s="692"/>
      <c r="H797" s="693"/>
      <c r="I797" s="694"/>
      <c r="J797" s="695"/>
      <c r="K797" s="696"/>
      <c r="L797" s="696"/>
      <c r="M797" s="697"/>
      <c r="N797" s="691"/>
      <c r="O797" s="597"/>
      <c r="P797" s="698"/>
    </row>
    <row r="798" spans="2:16">
      <c r="B798" s="597"/>
      <c r="C798" s="690"/>
      <c r="D798" s="691"/>
      <c r="E798" s="692"/>
      <c r="F798" s="692"/>
      <c r="G798" s="692"/>
      <c r="H798" s="693"/>
      <c r="I798" s="694"/>
      <c r="J798" s="695"/>
      <c r="K798" s="696"/>
      <c r="L798" s="696"/>
      <c r="M798" s="697"/>
      <c r="N798" s="691"/>
      <c r="O798" s="597"/>
      <c r="P798" s="698"/>
    </row>
    <row r="799" spans="2:16">
      <c r="B799" s="597"/>
      <c r="C799" s="690"/>
      <c r="D799" s="691"/>
      <c r="E799" s="692"/>
      <c r="F799" s="692"/>
      <c r="G799" s="692"/>
      <c r="H799" s="693"/>
      <c r="I799" s="694"/>
      <c r="J799" s="695"/>
      <c r="K799" s="696"/>
      <c r="L799" s="696"/>
      <c r="M799" s="697"/>
      <c r="N799" s="691"/>
      <c r="O799" s="597"/>
      <c r="P799" s="698"/>
    </row>
    <row r="800" spans="2:16">
      <c r="B800" s="597"/>
      <c r="C800" s="690"/>
      <c r="D800" s="691"/>
      <c r="E800" s="692"/>
      <c r="F800" s="692"/>
      <c r="G800" s="692"/>
      <c r="H800" s="693"/>
      <c r="I800" s="694"/>
      <c r="J800" s="695"/>
      <c r="K800" s="696"/>
      <c r="L800" s="696"/>
      <c r="M800" s="697"/>
      <c r="N800" s="691"/>
      <c r="O800" s="597"/>
      <c r="P800" s="698"/>
    </row>
    <row r="801" spans="2:16">
      <c r="B801" s="597"/>
      <c r="C801" s="690"/>
      <c r="D801" s="691"/>
      <c r="E801" s="692"/>
      <c r="F801" s="692"/>
      <c r="G801" s="692"/>
      <c r="H801" s="693"/>
      <c r="I801" s="694"/>
      <c r="J801" s="695"/>
      <c r="K801" s="696"/>
      <c r="L801" s="696"/>
      <c r="M801" s="697"/>
      <c r="N801" s="691"/>
      <c r="O801" s="597"/>
      <c r="P801" s="698"/>
    </row>
    <row r="802" spans="2:16">
      <c r="B802" s="597"/>
      <c r="C802" s="690"/>
      <c r="D802" s="691"/>
      <c r="E802" s="692"/>
      <c r="F802" s="692"/>
      <c r="G802" s="692"/>
      <c r="H802" s="693"/>
      <c r="I802" s="694"/>
      <c r="J802" s="695"/>
      <c r="K802" s="696"/>
      <c r="L802" s="696"/>
      <c r="M802" s="697"/>
      <c r="N802" s="691"/>
      <c r="O802" s="597"/>
      <c r="P802" s="698"/>
    </row>
    <row r="803" spans="2:16">
      <c r="B803" s="597"/>
      <c r="C803" s="690"/>
      <c r="D803" s="691"/>
      <c r="E803" s="692"/>
      <c r="F803" s="692"/>
      <c r="G803" s="692"/>
      <c r="H803" s="693"/>
      <c r="I803" s="694"/>
      <c r="J803" s="695"/>
      <c r="K803" s="696"/>
      <c r="L803" s="696"/>
      <c r="M803" s="697"/>
      <c r="N803" s="691"/>
      <c r="O803" s="597"/>
      <c r="P803" s="698"/>
    </row>
    <row r="804" spans="2:16">
      <c r="B804" s="597"/>
      <c r="C804" s="690"/>
      <c r="D804" s="691"/>
      <c r="E804" s="692"/>
      <c r="F804" s="692"/>
      <c r="G804" s="692"/>
      <c r="H804" s="693"/>
      <c r="I804" s="694"/>
      <c r="J804" s="695"/>
      <c r="K804" s="696"/>
      <c r="L804" s="696"/>
      <c r="M804" s="697"/>
      <c r="N804" s="691"/>
      <c r="O804" s="597"/>
      <c r="P804" s="698"/>
    </row>
    <row r="805" spans="2:16">
      <c r="B805" s="597"/>
      <c r="C805" s="690"/>
      <c r="D805" s="691"/>
      <c r="E805" s="692"/>
      <c r="F805" s="692"/>
      <c r="G805" s="692"/>
      <c r="H805" s="693"/>
      <c r="I805" s="694"/>
      <c r="J805" s="695"/>
      <c r="K805" s="696"/>
      <c r="L805" s="696"/>
      <c r="M805" s="697"/>
      <c r="N805" s="691"/>
      <c r="O805" s="597"/>
      <c r="P805" s="698"/>
    </row>
    <row r="806" spans="2:16">
      <c r="B806" s="597"/>
      <c r="C806" s="690"/>
      <c r="D806" s="691"/>
      <c r="E806" s="692"/>
      <c r="F806" s="692"/>
      <c r="G806" s="692"/>
      <c r="H806" s="693"/>
      <c r="I806" s="694"/>
      <c r="J806" s="695"/>
      <c r="K806" s="696"/>
      <c r="L806" s="696"/>
      <c r="M806" s="697"/>
      <c r="N806" s="691"/>
      <c r="O806" s="597"/>
      <c r="P806" s="698"/>
    </row>
    <row r="807" spans="2:16">
      <c r="B807" s="597"/>
      <c r="C807" s="690"/>
      <c r="D807" s="691"/>
      <c r="E807" s="692"/>
      <c r="F807" s="692"/>
      <c r="G807" s="692"/>
      <c r="H807" s="693"/>
      <c r="I807" s="694"/>
      <c r="J807" s="695"/>
      <c r="K807" s="696"/>
      <c r="L807" s="696"/>
      <c r="M807" s="697"/>
      <c r="N807" s="691"/>
      <c r="O807" s="597"/>
      <c r="P807" s="698"/>
    </row>
    <row r="808" spans="2:16">
      <c r="B808" s="597"/>
      <c r="C808" s="690"/>
      <c r="D808" s="691"/>
      <c r="E808" s="692"/>
      <c r="F808" s="692"/>
      <c r="G808" s="692"/>
      <c r="H808" s="693"/>
      <c r="I808" s="694"/>
      <c r="J808" s="695"/>
      <c r="K808" s="696"/>
      <c r="L808" s="696"/>
      <c r="M808" s="697"/>
      <c r="N808" s="691"/>
      <c r="O808" s="597"/>
      <c r="P808" s="698"/>
    </row>
    <row r="809" spans="2:16">
      <c r="B809" s="597"/>
      <c r="C809" s="690"/>
      <c r="D809" s="691"/>
      <c r="E809" s="692"/>
      <c r="F809" s="692"/>
      <c r="G809" s="692"/>
      <c r="H809" s="693"/>
      <c r="I809" s="694"/>
      <c r="J809" s="695"/>
      <c r="K809" s="696"/>
      <c r="L809" s="696"/>
      <c r="M809" s="697"/>
      <c r="N809" s="691"/>
      <c r="O809" s="597"/>
      <c r="P809" s="698"/>
    </row>
    <row r="810" spans="2:16">
      <c r="B810" s="597"/>
      <c r="C810" s="690"/>
      <c r="D810" s="691"/>
      <c r="E810" s="692"/>
      <c r="F810" s="692"/>
      <c r="G810" s="692"/>
      <c r="H810" s="693"/>
      <c r="I810" s="694"/>
      <c r="J810" s="695"/>
      <c r="K810" s="696"/>
      <c r="L810" s="696"/>
      <c r="M810" s="697"/>
      <c r="N810" s="691"/>
      <c r="O810" s="597"/>
      <c r="P810" s="698"/>
    </row>
    <row r="811" spans="2:16">
      <c r="B811" s="597"/>
      <c r="C811" s="690"/>
      <c r="D811" s="691"/>
      <c r="E811" s="692"/>
      <c r="F811" s="692"/>
      <c r="G811" s="692"/>
      <c r="H811" s="693"/>
      <c r="I811" s="694"/>
      <c r="J811" s="695"/>
      <c r="K811" s="696"/>
      <c r="L811" s="696"/>
      <c r="M811" s="697"/>
      <c r="N811" s="691"/>
      <c r="O811" s="597"/>
      <c r="P811" s="698"/>
    </row>
    <row r="812" spans="2:16">
      <c r="B812" s="597"/>
      <c r="C812" s="690"/>
      <c r="D812" s="691"/>
      <c r="E812" s="692"/>
      <c r="F812" s="692"/>
      <c r="G812" s="692"/>
      <c r="H812" s="693"/>
      <c r="I812" s="694"/>
      <c r="J812" s="695"/>
      <c r="K812" s="696"/>
      <c r="L812" s="696"/>
      <c r="M812" s="697"/>
      <c r="N812" s="691"/>
      <c r="O812" s="597"/>
      <c r="P812" s="698"/>
    </row>
    <row r="813" spans="2:16">
      <c r="B813" s="597"/>
      <c r="C813" s="690"/>
      <c r="D813" s="691"/>
      <c r="E813" s="692"/>
      <c r="F813" s="692"/>
      <c r="G813" s="692"/>
      <c r="H813" s="693"/>
      <c r="I813" s="694"/>
      <c r="J813" s="695"/>
      <c r="K813" s="696"/>
      <c r="L813" s="696"/>
      <c r="M813" s="697"/>
      <c r="N813" s="691"/>
      <c r="O813" s="597"/>
      <c r="P813" s="698"/>
    </row>
    <row r="814" spans="2:16">
      <c r="B814" s="597"/>
      <c r="C814" s="690"/>
      <c r="D814" s="691"/>
      <c r="E814" s="692"/>
      <c r="F814" s="692"/>
      <c r="G814" s="692"/>
      <c r="H814" s="693"/>
      <c r="I814" s="694"/>
      <c r="J814" s="695"/>
      <c r="K814" s="696"/>
      <c r="L814" s="696"/>
      <c r="M814" s="697"/>
      <c r="N814" s="691"/>
      <c r="O814" s="597"/>
      <c r="P814" s="698"/>
    </row>
    <row r="815" spans="2:16">
      <c r="B815" s="597"/>
      <c r="C815" s="690"/>
      <c r="D815" s="691"/>
      <c r="E815" s="692"/>
      <c r="F815" s="692"/>
      <c r="G815" s="692"/>
      <c r="H815" s="693"/>
      <c r="I815" s="694"/>
      <c r="J815" s="695"/>
      <c r="K815" s="696"/>
      <c r="L815" s="696"/>
      <c r="M815" s="697"/>
      <c r="N815" s="691"/>
      <c r="O815" s="597"/>
      <c r="P815" s="698"/>
    </row>
    <row r="816" spans="2:16">
      <c r="B816" s="597"/>
      <c r="C816" s="690"/>
      <c r="D816" s="691"/>
      <c r="E816" s="692"/>
      <c r="F816" s="692"/>
      <c r="G816" s="692"/>
      <c r="H816" s="693"/>
      <c r="I816" s="694"/>
      <c r="J816" s="695"/>
      <c r="K816" s="696"/>
      <c r="L816" s="696"/>
      <c r="M816" s="697"/>
      <c r="N816" s="691"/>
      <c r="O816" s="597"/>
      <c r="P816" s="698"/>
    </row>
    <row r="817" spans="2:16">
      <c r="B817" s="597"/>
      <c r="C817" s="690"/>
      <c r="D817" s="691"/>
      <c r="E817" s="692"/>
      <c r="F817" s="692"/>
      <c r="G817" s="692"/>
      <c r="H817" s="693"/>
      <c r="I817" s="694"/>
      <c r="J817" s="695"/>
      <c r="K817" s="696"/>
      <c r="L817" s="696"/>
      <c r="M817" s="697"/>
      <c r="N817" s="691"/>
      <c r="O817" s="597"/>
      <c r="P817" s="698"/>
    </row>
    <row r="818" spans="2:16">
      <c r="B818" s="597"/>
      <c r="C818" s="690"/>
      <c r="D818" s="691"/>
      <c r="E818" s="692"/>
      <c r="F818" s="692"/>
      <c r="G818" s="692"/>
      <c r="H818" s="693"/>
      <c r="I818" s="694"/>
      <c r="J818" s="695"/>
      <c r="K818" s="696"/>
      <c r="L818" s="696"/>
      <c r="M818" s="697"/>
      <c r="N818" s="691"/>
      <c r="O818" s="597"/>
      <c r="P818" s="698"/>
    </row>
    <row r="819" spans="2:16">
      <c r="B819" s="597"/>
      <c r="C819" s="690"/>
      <c r="D819" s="691"/>
      <c r="E819" s="692"/>
      <c r="F819" s="692"/>
      <c r="G819" s="692"/>
      <c r="H819" s="693"/>
      <c r="I819" s="694"/>
      <c r="J819" s="695"/>
      <c r="K819" s="696"/>
      <c r="L819" s="696"/>
      <c r="M819" s="697"/>
      <c r="N819" s="691"/>
      <c r="O819" s="597"/>
      <c r="P819" s="698"/>
    </row>
    <row r="820" spans="2:16">
      <c r="B820" s="597"/>
      <c r="C820" s="690"/>
      <c r="D820" s="691"/>
      <c r="E820" s="692"/>
      <c r="F820" s="692"/>
      <c r="G820" s="692"/>
      <c r="H820" s="693"/>
      <c r="I820" s="694"/>
      <c r="J820" s="695"/>
      <c r="K820" s="696"/>
      <c r="L820" s="696"/>
      <c r="M820" s="697"/>
      <c r="N820" s="691"/>
      <c r="O820" s="597"/>
      <c r="P820" s="698"/>
    </row>
    <row r="821" spans="2:16">
      <c r="B821" s="597"/>
      <c r="C821" s="690"/>
      <c r="D821" s="691"/>
      <c r="E821" s="692"/>
      <c r="F821" s="692"/>
      <c r="G821" s="692"/>
      <c r="H821" s="693"/>
      <c r="I821" s="694"/>
      <c r="J821" s="695"/>
      <c r="K821" s="696"/>
      <c r="L821" s="696"/>
      <c r="M821" s="697"/>
      <c r="N821" s="691"/>
      <c r="O821" s="597"/>
      <c r="P821" s="698"/>
    </row>
    <row r="822" spans="2:16">
      <c r="B822" s="597"/>
      <c r="C822" s="690"/>
      <c r="D822" s="691"/>
      <c r="E822" s="692"/>
      <c r="F822" s="692"/>
      <c r="G822" s="692"/>
      <c r="H822" s="693"/>
      <c r="I822" s="694"/>
      <c r="J822" s="695"/>
      <c r="K822" s="696"/>
      <c r="L822" s="696"/>
      <c r="M822" s="697"/>
      <c r="N822" s="691"/>
      <c r="O822" s="597"/>
      <c r="P822" s="698"/>
    </row>
    <row r="823" spans="2:16">
      <c r="B823" s="597"/>
      <c r="C823" s="690"/>
      <c r="D823" s="691"/>
      <c r="E823" s="692"/>
      <c r="F823" s="692"/>
      <c r="G823" s="692"/>
      <c r="H823" s="693"/>
      <c r="I823" s="694"/>
      <c r="J823" s="695"/>
      <c r="K823" s="696"/>
      <c r="L823" s="696"/>
      <c r="M823" s="697"/>
      <c r="N823" s="691"/>
      <c r="O823" s="597"/>
      <c r="P823" s="698"/>
    </row>
    <row r="824" spans="2:16">
      <c r="B824" s="597"/>
      <c r="C824" s="690"/>
      <c r="D824" s="691"/>
      <c r="E824" s="692"/>
      <c r="F824" s="692"/>
      <c r="G824" s="692"/>
      <c r="H824" s="693"/>
      <c r="I824" s="694"/>
      <c r="J824" s="695"/>
      <c r="K824" s="696"/>
      <c r="L824" s="696"/>
      <c r="M824" s="697"/>
      <c r="N824" s="691"/>
      <c r="O824" s="597"/>
      <c r="P824" s="698"/>
    </row>
    <row r="825" spans="2:16">
      <c r="B825" s="597"/>
      <c r="C825" s="690"/>
      <c r="D825" s="691"/>
      <c r="E825" s="692"/>
      <c r="F825" s="692"/>
      <c r="G825" s="692"/>
      <c r="H825" s="693"/>
      <c r="I825" s="694"/>
      <c r="J825" s="695"/>
      <c r="K825" s="696"/>
      <c r="L825" s="696"/>
      <c r="M825" s="697"/>
      <c r="N825" s="691"/>
      <c r="O825" s="597"/>
      <c r="P825" s="698"/>
    </row>
    <row r="826" spans="2:16">
      <c r="B826" s="597"/>
      <c r="C826" s="690"/>
      <c r="D826" s="691"/>
      <c r="E826" s="692"/>
      <c r="F826" s="692"/>
      <c r="G826" s="692"/>
      <c r="H826" s="693"/>
      <c r="I826" s="694"/>
      <c r="J826" s="695"/>
      <c r="K826" s="696"/>
      <c r="L826" s="696"/>
      <c r="M826" s="697"/>
      <c r="N826" s="691"/>
      <c r="O826" s="597"/>
      <c r="P826" s="698"/>
    </row>
    <row r="827" spans="2:16">
      <c r="B827" s="597"/>
      <c r="C827" s="690"/>
      <c r="D827" s="691"/>
      <c r="E827" s="692"/>
      <c r="F827" s="692"/>
      <c r="G827" s="692"/>
      <c r="H827" s="693"/>
      <c r="I827" s="694"/>
      <c r="J827" s="695"/>
      <c r="K827" s="696"/>
      <c r="L827" s="696"/>
      <c r="M827" s="697"/>
      <c r="N827" s="691"/>
      <c r="O827" s="597"/>
      <c r="P827" s="698"/>
    </row>
  </sheetData>
  <protectedRanges>
    <protectedRange sqref="C131:C162" name="Range1_1_1"/>
  </protectedRanges>
  <mergeCells count="61">
    <mergeCell ref="C523:C528"/>
    <mergeCell ref="C496:C500"/>
    <mergeCell ref="C501:C507"/>
    <mergeCell ref="C508:C514"/>
    <mergeCell ref="C515:C522"/>
    <mergeCell ref="C493:C495"/>
    <mergeCell ref="D473:I473"/>
    <mergeCell ref="E474:E475"/>
    <mergeCell ref="O476:O478"/>
    <mergeCell ref="F480:M480"/>
    <mergeCell ref="O131:O162"/>
    <mergeCell ref="C491:C492"/>
    <mergeCell ref="N350:O350"/>
    <mergeCell ref="O391:O400"/>
    <mergeCell ref="B465:O465"/>
    <mergeCell ref="B467:B468"/>
    <mergeCell ref="C467:C468"/>
    <mergeCell ref="D467:I467"/>
    <mergeCell ref="B471:B472"/>
    <mergeCell ref="F474:G474"/>
    <mergeCell ref="H474:I474"/>
    <mergeCell ref="O206:O209"/>
    <mergeCell ref="O212:O215"/>
    <mergeCell ref="B469:B470"/>
    <mergeCell ref="C469:C470"/>
    <mergeCell ref="O227:O238"/>
    <mergeCell ref="C471:C472"/>
    <mergeCell ref="D469:I469"/>
    <mergeCell ref="D470:I470"/>
    <mergeCell ref="O467:O473"/>
    <mergeCell ref="D472:I472"/>
    <mergeCell ref="O165:O179"/>
    <mergeCell ref="O182:O195"/>
    <mergeCell ref="O197:O200"/>
    <mergeCell ref="O203:O205"/>
    <mergeCell ref="D471:I471"/>
    <mergeCell ref="D468:I468"/>
    <mergeCell ref="O247:O254"/>
    <mergeCell ref="J261:N271"/>
    <mergeCell ref="J273:N291"/>
    <mergeCell ref="J293:N303"/>
    <mergeCell ref="O306:O317"/>
    <mergeCell ref="O61:O65"/>
    <mergeCell ref="O68:O69"/>
    <mergeCell ref="O111:O120"/>
    <mergeCell ref="O122:O128"/>
    <mergeCell ref="O83:O108"/>
    <mergeCell ref="O71:O80"/>
    <mergeCell ref="O39:O44"/>
    <mergeCell ref="O45:O47"/>
    <mergeCell ref="O49:O57"/>
    <mergeCell ref="O58:O60"/>
    <mergeCell ref="B29:N29"/>
    <mergeCell ref="E32:I32"/>
    <mergeCell ref="J32:K32"/>
    <mergeCell ref="O36:O38"/>
    <mergeCell ref="C5:D5"/>
    <mergeCell ref="J5:N5"/>
    <mergeCell ref="J7:N7"/>
    <mergeCell ref="C13:E24"/>
    <mergeCell ref="J13:N13"/>
  </mergeCells>
  <phoneticPr fontId="20" type="noConversion"/>
  <pageMargins left="0.75" right="0.75" top="1" bottom="1" header="0.5" footer="0.5"/>
  <pageSetup orientation="portrait" horizontalDpi="4294967293"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O25"/>
  <sheetViews>
    <sheetView showGridLines="0" workbookViewId="0">
      <selection activeCell="L12" sqref="L12"/>
    </sheetView>
  </sheetViews>
  <sheetFormatPr defaultColWidth="9.140625" defaultRowHeight="12.75"/>
  <cols>
    <col min="1" max="1" width="2.140625" style="178" customWidth="1"/>
    <col min="2" max="2" width="2.42578125" style="178" customWidth="1"/>
    <col min="3" max="3" width="6.85546875" style="178" customWidth="1"/>
    <col min="4" max="4" width="3.140625" style="178" customWidth="1"/>
    <col min="5" max="5" width="2.5703125" style="178" customWidth="1"/>
    <col min="6" max="6" width="34.140625" style="178" bestFit="1" customWidth="1"/>
    <col min="7" max="7" width="10.28515625" style="178" customWidth="1"/>
    <col min="8" max="8" width="13.5703125" style="178" customWidth="1"/>
    <col min="9" max="9" width="12.140625" style="178" customWidth="1"/>
    <col min="10" max="10" width="14.5703125" style="178" customWidth="1"/>
    <col min="11" max="11" width="12.85546875" style="178" customWidth="1"/>
    <col min="12" max="12" width="13.85546875" style="178" customWidth="1"/>
    <col min="13" max="13" width="14.140625" style="178" customWidth="1"/>
    <col min="14" max="14" width="13.7109375" style="178" customWidth="1"/>
    <col min="15" max="15" width="14.28515625" style="178" customWidth="1"/>
    <col min="16" max="16384" width="9.140625" style="178"/>
  </cols>
  <sheetData>
    <row r="1" spans="1:15" ht="13.5">
      <c r="A1" s="228" t="s">
        <v>236</v>
      </c>
      <c r="O1" s="55" t="str">
        <f>CONCATENATE("PBA"," ",VALUE('Te dhena fillesat 2022'!$D$4))</f>
        <v>PBA 2022</v>
      </c>
    </row>
    <row r="2" spans="1:15">
      <c r="A2" s="177" t="str">
        <f>CONCATENATE("Pasqyra Nr.4: Numri i punonjësve për vitin"," ",VALUE('Te dhena fillesat 2022'!D$4-2),", ",VALUE('Te dhena fillesat 2022'!D$4-1)," ","dhe parashikimi për vitet"," ",VALUE('Te dhena fillesat 2022'!D$4)," ","-"," ",VALUE('Te dhena fillesat 2022'!D$4+2))</f>
        <v>Pasqyra Nr.4: Numri i punonjësve për vitin 2020, 2021 dhe parashikimi për vitet 2022 - 2024</v>
      </c>
      <c r="B2" s="177"/>
      <c r="C2" s="177"/>
      <c r="D2" s="177"/>
      <c r="E2" s="177"/>
      <c r="F2" s="177"/>
      <c r="G2" s="177"/>
      <c r="H2" s="25"/>
      <c r="I2" s="25"/>
    </row>
    <row r="3" spans="1:15">
      <c r="A3" s="25"/>
      <c r="B3" s="25"/>
      <c r="C3" s="25"/>
      <c r="D3" s="25"/>
      <c r="E3" s="25"/>
      <c r="F3" s="25"/>
      <c r="G3" s="25"/>
      <c r="H3" s="25"/>
      <c r="I3" s="25"/>
    </row>
    <row r="4" spans="1:15">
      <c r="A4" s="177"/>
      <c r="F4" s="179"/>
      <c r="G4" s="179"/>
      <c r="H4" s="179"/>
      <c r="I4" s="179"/>
      <c r="J4" s="179"/>
      <c r="K4" s="179"/>
      <c r="L4" s="179"/>
      <c r="M4" s="179"/>
    </row>
    <row r="5" spans="1:15" ht="15">
      <c r="A5" s="73"/>
      <c r="B5" s="180"/>
      <c r="C5" s="180"/>
      <c r="D5" s="180"/>
      <c r="E5" s="180"/>
      <c r="F5" s="181"/>
      <c r="G5" s="181"/>
      <c r="H5" s="182" t="s">
        <v>74</v>
      </c>
      <c r="I5" s="1758" t="s">
        <v>147</v>
      </c>
      <c r="J5" s="1758"/>
      <c r="K5" s="1758"/>
      <c r="L5" s="1758"/>
      <c r="M5" s="1759"/>
    </row>
    <row r="6" spans="1:15" ht="15">
      <c r="A6" s="79"/>
      <c r="B6" s="183"/>
      <c r="C6" s="183"/>
      <c r="D6" s="183"/>
      <c r="E6" s="184" t="s">
        <v>208</v>
      </c>
      <c r="F6" s="184"/>
      <c r="G6" s="185"/>
      <c r="H6" s="720" t="str">
        <f>CONCATENATE('Te dhena fillesat 2022'!C7)</f>
        <v>1011205</v>
      </c>
      <c r="I6" s="1760" t="str">
        <f>CONCATENATE('Te dhena fillesat 2022'!D7)</f>
        <v>Agjensia e Sherbimeve të Sportit</v>
      </c>
      <c r="J6" s="1761"/>
      <c r="K6" s="1761"/>
      <c r="L6" s="1761"/>
      <c r="M6" s="1762"/>
    </row>
    <row r="7" spans="1:15" ht="15" thickBot="1">
      <c r="A7" s="71"/>
      <c r="B7" s="186"/>
      <c r="C7" s="186"/>
      <c r="D7" s="186"/>
      <c r="E7" s="186"/>
      <c r="F7" s="186"/>
      <c r="G7" s="186"/>
      <c r="H7" s="186"/>
      <c r="I7" s="186"/>
      <c r="J7" s="186"/>
      <c r="K7" s="186"/>
      <c r="L7" s="186"/>
      <c r="M7" s="187"/>
    </row>
    <row r="8" spans="1:15" ht="15">
      <c r="A8" s="188"/>
      <c r="B8" s="189"/>
      <c r="C8" s="189"/>
      <c r="D8" s="189"/>
      <c r="E8" s="189"/>
      <c r="F8" s="189"/>
      <c r="G8" s="190"/>
      <c r="H8" s="1475" t="str">
        <f>CONCATENATE(VALUE('Te dhena fillesat 2022'!$D$4-2))</f>
        <v>2020</v>
      </c>
      <c r="I8" s="1475" t="str">
        <f>CONCATENATE(VALUE('Te dhena fillesat 2022'!$D$4-2))</f>
        <v>2020</v>
      </c>
      <c r="J8" s="1504" t="str">
        <f>CONCATENATE(VALUE('Te dhena fillesat 2022'!$D$4-1))</f>
        <v>2021</v>
      </c>
      <c r="K8" s="1504" t="str">
        <f>CONCATENATE(VALUE('Te dhena fillesat 2022'!$D$4-1))</f>
        <v>2021</v>
      </c>
      <c r="L8" s="1504" t="str">
        <f>CONCATENATE(VALUE('Te dhena fillesat 2022'!$D$4-1))</f>
        <v>2021</v>
      </c>
      <c r="M8" s="1475" t="str">
        <f>CONCATENATE(VALUE('Te dhena fillesat 2022'!$D$4))</f>
        <v>2022</v>
      </c>
      <c r="N8" s="1475" t="str">
        <f>CONCATENATE(VALUE('Te dhena fillesat 2022'!$D$4+1))</f>
        <v>2023</v>
      </c>
      <c r="O8" s="1475" t="str">
        <f>CONCATENATE(VALUE('Te dhena fillesat 2022'!$D$4+2))</f>
        <v>2024</v>
      </c>
    </row>
    <row r="9" spans="1:15" ht="99.6" customHeight="1">
      <c r="A9" s="1478"/>
      <c r="B9" s="1479"/>
      <c r="C9" s="1479" t="s">
        <v>1006</v>
      </c>
      <c r="D9" s="1479"/>
      <c r="E9" s="1479"/>
      <c r="F9" s="1479"/>
      <c r="G9" s="1480" t="s">
        <v>218</v>
      </c>
      <c r="H9" s="1481" t="s">
        <v>1005</v>
      </c>
      <c r="I9" s="1481" t="s">
        <v>148</v>
      </c>
      <c r="J9" s="1505" t="s">
        <v>1004</v>
      </c>
      <c r="K9" s="1505" t="s">
        <v>1002</v>
      </c>
      <c r="L9" s="1505" t="s">
        <v>149</v>
      </c>
      <c r="M9" s="1481" t="s">
        <v>213</v>
      </c>
      <c r="N9" s="1481" t="s">
        <v>213</v>
      </c>
      <c r="O9" s="1482" t="s">
        <v>213</v>
      </c>
    </row>
    <row r="10" spans="1:15" ht="15">
      <c r="A10" s="191"/>
      <c r="B10" s="192"/>
      <c r="C10" s="192"/>
      <c r="D10" s="192"/>
      <c r="E10" s="192"/>
      <c r="F10" s="192"/>
      <c r="G10" s="229"/>
      <c r="H10" s="229"/>
      <c r="I10" s="229"/>
      <c r="J10" s="229"/>
      <c r="K10" s="229"/>
      <c r="L10" s="229"/>
      <c r="M10" s="229"/>
      <c r="N10" s="229"/>
      <c r="O10" s="230"/>
    </row>
    <row r="11" spans="1:15" ht="15">
      <c r="A11" s="193"/>
      <c r="B11" s="194"/>
      <c r="C11" s="1476" t="s">
        <v>998</v>
      </c>
      <c r="D11" s="194" t="s">
        <v>214</v>
      </c>
      <c r="E11" s="194"/>
      <c r="F11" s="194"/>
      <c r="G11" s="1049"/>
      <c r="H11" s="231"/>
      <c r="I11" s="231"/>
      <c r="J11" s="231"/>
      <c r="K11" s="231"/>
      <c r="L11" s="231"/>
      <c r="M11" s="231"/>
      <c r="N11" s="231"/>
      <c r="O11" s="232"/>
    </row>
    <row r="12" spans="1:15" ht="30">
      <c r="A12" s="193"/>
      <c r="B12" s="194"/>
      <c r="C12" s="1476" t="s">
        <v>1001</v>
      </c>
      <c r="D12" s="194" t="s">
        <v>214</v>
      </c>
      <c r="E12" s="194"/>
      <c r="F12" s="194"/>
      <c r="G12" s="1049">
        <v>1011205</v>
      </c>
      <c r="H12" s="231">
        <v>15</v>
      </c>
      <c r="I12" s="231">
        <v>1</v>
      </c>
      <c r="J12" s="231">
        <v>15</v>
      </c>
      <c r="K12" s="231">
        <v>1</v>
      </c>
      <c r="L12" s="1515" t="s">
        <v>1048</v>
      </c>
      <c r="M12" s="231">
        <v>16</v>
      </c>
      <c r="N12" s="231">
        <v>16</v>
      </c>
      <c r="O12" s="232">
        <v>16</v>
      </c>
    </row>
    <row r="13" spans="1:15" ht="15">
      <c r="A13" s="193"/>
      <c r="B13" s="194"/>
      <c r="C13" s="1476" t="s">
        <v>999</v>
      </c>
      <c r="D13" s="194" t="s">
        <v>214</v>
      </c>
      <c r="E13" s="194"/>
      <c r="F13" s="194"/>
      <c r="G13" s="231"/>
      <c r="H13" s="231"/>
      <c r="I13" s="231"/>
      <c r="J13" s="231"/>
      <c r="K13" s="231"/>
      <c r="L13" s="231"/>
      <c r="M13" s="231"/>
      <c r="N13" s="231"/>
      <c r="O13" s="232"/>
    </row>
    <row r="14" spans="1:15" ht="15">
      <c r="A14" s="193"/>
      <c r="B14" s="194"/>
      <c r="C14" s="1476" t="s">
        <v>1000</v>
      </c>
      <c r="D14" s="194" t="s">
        <v>214</v>
      </c>
      <c r="E14" s="194"/>
      <c r="F14" s="194"/>
      <c r="G14" s="231"/>
      <c r="H14" s="231"/>
      <c r="I14" s="231"/>
      <c r="J14" s="231"/>
      <c r="K14" s="231"/>
      <c r="L14" s="231"/>
      <c r="M14" s="231"/>
      <c r="N14" s="231"/>
      <c r="O14" s="232"/>
    </row>
    <row r="15" spans="1:15" ht="15">
      <c r="A15" s="193"/>
      <c r="B15" s="194"/>
      <c r="C15" s="1476" t="s">
        <v>692</v>
      </c>
      <c r="D15" s="194" t="s">
        <v>214</v>
      </c>
      <c r="E15" s="194"/>
      <c r="F15" s="194"/>
      <c r="G15" s="231"/>
      <c r="H15" s="231"/>
      <c r="I15" s="231"/>
      <c r="J15" s="231"/>
      <c r="K15" s="231"/>
      <c r="L15" s="231"/>
      <c r="M15" s="231"/>
      <c r="N15" s="231"/>
      <c r="O15" s="232"/>
    </row>
    <row r="16" spans="1:15" ht="15.75" thickBot="1">
      <c r="A16" s="195"/>
      <c r="B16" s="196"/>
      <c r="C16" s="1477" t="s">
        <v>963</v>
      </c>
      <c r="D16" s="194" t="s">
        <v>214</v>
      </c>
      <c r="E16" s="194"/>
      <c r="F16" s="194"/>
      <c r="G16" s="233"/>
      <c r="H16" s="233"/>
      <c r="I16" s="233"/>
      <c r="J16" s="233"/>
      <c r="K16" s="233"/>
      <c r="L16" s="233"/>
      <c r="M16" s="233"/>
      <c r="N16" s="233"/>
      <c r="O16" s="234"/>
    </row>
    <row r="17" spans="1:15" ht="15.75" thickBot="1">
      <c r="A17" s="1764" t="s">
        <v>115</v>
      </c>
      <c r="B17" s="1765"/>
      <c r="C17" s="1765"/>
      <c r="D17" s="1765"/>
      <c r="E17" s="1765"/>
      <c r="F17" s="1766"/>
      <c r="G17" s="235"/>
      <c r="H17" s="235"/>
      <c r="I17" s="235"/>
      <c r="J17" s="235"/>
      <c r="K17" s="235"/>
      <c r="L17" s="235"/>
      <c r="M17" s="235"/>
      <c r="N17" s="235"/>
      <c r="O17" s="236"/>
    </row>
    <row r="19" spans="1:15" ht="12.75" customHeight="1">
      <c r="F19" s="1635" t="s">
        <v>146</v>
      </c>
      <c r="G19" s="172" t="s">
        <v>144</v>
      </c>
      <c r="H19" s="1102" t="s">
        <v>1045</v>
      </c>
      <c r="I19" s="197"/>
      <c r="J19" s="83"/>
      <c r="K19" s="1635" t="s">
        <v>240</v>
      </c>
      <c r="L19" s="172" t="s">
        <v>144</v>
      </c>
      <c r="M19" s="1050" t="s">
        <v>1044</v>
      </c>
    </row>
    <row r="20" spans="1:15">
      <c r="F20" s="1636"/>
      <c r="G20" s="172" t="s">
        <v>239</v>
      </c>
      <c r="H20" s="172"/>
      <c r="I20" s="197"/>
      <c r="J20" s="83"/>
      <c r="K20" s="1767"/>
      <c r="L20" s="172" t="s">
        <v>239</v>
      </c>
      <c r="M20" s="172"/>
    </row>
    <row r="21" spans="1:15">
      <c r="F21" s="1637"/>
      <c r="G21" s="172" t="s">
        <v>145</v>
      </c>
      <c r="H21" s="245" t="s">
        <v>1067</v>
      </c>
      <c r="I21" s="197"/>
      <c r="J21" s="83"/>
      <c r="K21" s="1768"/>
      <c r="L21" s="172" t="s">
        <v>145</v>
      </c>
      <c r="M21" s="245" t="s">
        <v>1067</v>
      </c>
    </row>
    <row r="22" spans="1:15">
      <c r="F22" s="25"/>
      <c r="G22" s="25"/>
      <c r="H22" s="25"/>
      <c r="I22" s="25"/>
      <c r="J22" s="25"/>
      <c r="K22" s="25"/>
      <c r="L22" s="25"/>
    </row>
    <row r="23" spans="1:15">
      <c r="F23" s="1763"/>
      <c r="G23" s="237"/>
      <c r="H23" s="197"/>
      <c r="I23" s="197"/>
      <c r="J23" s="197"/>
      <c r="K23" s="197"/>
      <c r="L23" s="197"/>
    </row>
    <row r="24" spans="1:15">
      <c r="F24" s="1763"/>
      <c r="G24" s="237"/>
      <c r="H24" s="197"/>
      <c r="I24" s="197"/>
      <c r="J24" s="197"/>
      <c r="K24" s="197"/>
      <c r="L24" s="197"/>
    </row>
    <row r="25" spans="1:15">
      <c r="F25" s="1763"/>
      <c r="G25" s="237"/>
      <c r="H25" s="197"/>
      <c r="I25" s="197"/>
      <c r="J25" s="197"/>
      <c r="K25" s="197"/>
      <c r="L25" s="197"/>
    </row>
  </sheetData>
  <protectedRanges>
    <protectedRange sqref="H19:H21 D11:O16 M19:M21" name="Range1"/>
  </protectedRanges>
  <mergeCells count="6">
    <mergeCell ref="I5:M5"/>
    <mergeCell ref="I6:M6"/>
    <mergeCell ref="F19:F21"/>
    <mergeCell ref="F23:F25"/>
    <mergeCell ref="A17:F17"/>
    <mergeCell ref="K19:K21"/>
  </mergeCells>
  <phoneticPr fontId="20" type="noConversion"/>
  <printOptions horizontalCentered="1" verticalCentered="1"/>
  <pageMargins left="0" right="0" top="0" bottom="0" header="0.51181102362204722" footer="0.51181102362204722"/>
  <pageSetup paperSize="9" scale="86" orientation="landscape" r:id="rId1"/>
  <headerFooter alignWithMargins="0">
    <oddFooter>&amp;R7.A -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AM104"/>
  <sheetViews>
    <sheetView topLeftCell="A13" zoomScaleNormal="100" workbookViewId="0">
      <pane xSplit="2" ySplit="3" topLeftCell="C79" activePane="bottomRight" state="frozen"/>
      <selection activeCell="A13" sqref="A13"/>
      <selection pane="topRight" activeCell="C13" sqref="C13"/>
      <selection pane="bottomLeft" activeCell="A16" sqref="A16"/>
      <selection pane="bottomRight" activeCell="H42" sqref="H42"/>
    </sheetView>
  </sheetViews>
  <sheetFormatPr defaultRowHeight="12.75"/>
  <cols>
    <col min="1" max="1" width="8" customWidth="1"/>
    <col min="2" max="2" width="56.85546875" customWidth="1"/>
    <col min="3" max="3" width="10.28515625" customWidth="1"/>
    <col min="4" max="4" width="8.42578125" customWidth="1"/>
    <col min="6" max="6" width="10.42578125" customWidth="1"/>
    <col min="7" max="7" width="9" customWidth="1"/>
    <col min="8" max="8" width="9.85546875" customWidth="1"/>
    <col min="9" max="9" width="11.7109375" customWidth="1"/>
    <col min="10" max="10" width="10.85546875" customWidth="1"/>
    <col min="11" max="11" width="10.42578125" customWidth="1"/>
    <col min="12" max="12" width="9.140625" customWidth="1"/>
    <col min="13" max="13" width="10.7109375" hidden="1" customWidth="1"/>
    <col min="14" max="14" width="24.5703125" style="1122" hidden="1" customWidth="1"/>
    <col min="15" max="15" width="12.5703125" hidden="1" customWidth="1"/>
    <col min="16" max="23" width="9.140625" hidden="1" customWidth="1"/>
    <col min="24" max="24" width="9.140625" style="959" hidden="1" customWidth="1"/>
    <col min="25" max="25" width="10.140625" style="959" hidden="1" customWidth="1"/>
    <col min="26" max="26" width="9.7109375" style="959" hidden="1" customWidth="1"/>
    <col min="27" max="27" width="10.5703125" style="959" hidden="1" customWidth="1"/>
    <col min="28" max="28" width="9.140625" style="959" hidden="1" customWidth="1"/>
    <col min="29" max="29" width="10.42578125" style="959" hidden="1" customWidth="1"/>
    <col min="30" max="30" width="11.42578125" style="959" hidden="1" customWidth="1"/>
    <col min="31" max="31" width="10.140625" hidden="1" customWidth="1"/>
    <col min="32" max="33" width="10.140625" style="1097" hidden="1" customWidth="1"/>
    <col min="34" max="34" width="0" style="1097" hidden="1" customWidth="1"/>
    <col min="35" max="35" width="10.140625" style="1097" hidden="1" customWidth="1"/>
    <col min="36" max="36" width="0" hidden="1" customWidth="1"/>
    <col min="37" max="37" width="9.7109375" hidden="1" customWidth="1"/>
    <col min="38" max="42" width="0" hidden="1" customWidth="1"/>
  </cols>
  <sheetData>
    <row r="1" spans="1:34">
      <c r="A1" s="228" t="s">
        <v>236</v>
      </c>
    </row>
    <row r="2" spans="1:34">
      <c r="A2" s="721" t="s">
        <v>117</v>
      </c>
      <c r="B2" s="722"/>
      <c r="C2" s="722"/>
      <c r="D2" s="722"/>
      <c r="E2" s="723"/>
      <c r="F2" s="723"/>
      <c r="G2" s="723"/>
      <c r="H2" s="724"/>
      <c r="I2" s="725"/>
      <c r="J2" s="725"/>
      <c r="K2" s="726"/>
    </row>
    <row r="3" spans="1:34">
      <c r="A3" s="727"/>
      <c r="B3" s="238"/>
      <c r="C3" s="238"/>
      <c r="D3" s="238"/>
      <c r="E3" s="239"/>
      <c r="F3" s="239"/>
      <c r="G3" s="239"/>
      <c r="H3" s="25"/>
      <c r="I3" s="29"/>
      <c r="J3" s="29"/>
      <c r="K3" s="284"/>
    </row>
    <row r="4" spans="1:34" ht="13.5">
      <c r="A4" s="728"/>
      <c r="B4" s="25"/>
      <c r="C4" s="25"/>
      <c r="D4" s="274"/>
      <c r="E4" s="275"/>
      <c r="F4" s="101" t="s">
        <v>74</v>
      </c>
      <c r="G4" s="101" t="s">
        <v>72</v>
      </c>
      <c r="H4" s="25"/>
      <c r="I4" s="25"/>
      <c r="J4" s="55" t="str">
        <f>CONCATENATE("PBA"," ",VALUE('Te dhena fillesat 2022'!$D$4)," ","-"," ",VALUE('Te dhena fillesat 2022'!$D$4+2))</f>
        <v>PBA 2022 - 2024</v>
      </c>
      <c r="K4" s="729"/>
    </row>
    <row r="5" spans="1:34" ht="13.5" customHeight="1">
      <c r="A5" s="728"/>
      <c r="B5" s="25"/>
      <c r="C5" s="25"/>
      <c r="D5" s="276" t="s">
        <v>211</v>
      </c>
      <c r="E5" s="277"/>
      <c r="F5" s="720" t="str">
        <f>CONCATENATE('Te dhena fillesat 2022'!$C$7)</f>
        <v>1011205</v>
      </c>
      <c r="G5" s="938" t="str">
        <f>CONCATENATE('Te dhena fillesat 2022'!$D$7)</f>
        <v>Agjensia e Sherbimeve të Sportit</v>
      </c>
      <c r="H5" s="25"/>
      <c r="I5" s="25"/>
      <c r="J5" s="55"/>
      <c r="K5" s="729"/>
    </row>
    <row r="6" spans="1:34">
      <c r="A6" s="728"/>
      <c r="B6" s="25"/>
      <c r="C6" s="25"/>
      <c r="D6" s="25"/>
      <c r="E6" s="25"/>
      <c r="F6" s="25"/>
      <c r="G6" s="25"/>
      <c r="H6" s="25"/>
      <c r="I6" s="25"/>
      <c r="J6" s="255" t="s">
        <v>219</v>
      </c>
      <c r="K6" s="730"/>
    </row>
    <row r="7" spans="1:34" ht="8.25" customHeight="1">
      <c r="A7" s="728"/>
      <c r="B7" s="25"/>
      <c r="C7" s="25"/>
      <c r="D7" s="25"/>
      <c r="E7" s="25"/>
      <c r="F7" s="25"/>
      <c r="G7" s="25"/>
      <c r="H7" s="25"/>
      <c r="I7" s="25"/>
      <c r="J7" s="25"/>
      <c r="K7" s="730"/>
    </row>
    <row r="8" spans="1:34" ht="8.25" customHeight="1" thickBot="1">
      <c r="A8" s="731"/>
      <c r="B8" s="272"/>
      <c r="C8" s="272"/>
      <c r="D8" s="272"/>
      <c r="E8" s="272"/>
      <c r="F8" s="272"/>
      <c r="G8" s="272"/>
      <c r="H8" s="272"/>
      <c r="I8" s="272"/>
      <c r="J8" s="272"/>
      <c r="K8" s="732"/>
    </row>
    <row r="9" spans="1:34" ht="8.25" customHeight="1">
      <c r="A9" s="46"/>
      <c r="B9" s="46"/>
      <c r="C9" s="46"/>
      <c r="D9" s="46"/>
      <c r="E9" s="46"/>
      <c r="F9" s="46"/>
      <c r="G9" s="46"/>
      <c r="H9" s="46"/>
      <c r="I9" s="46"/>
      <c r="J9" s="46"/>
      <c r="K9" s="46"/>
    </row>
    <row r="10" spans="1:34" ht="13.5">
      <c r="A10" s="28"/>
      <c r="B10" s="31"/>
      <c r="C10" s="28" t="s">
        <v>79</v>
      </c>
      <c r="D10" s="32">
        <v>602</v>
      </c>
      <c r="E10" s="31" t="s">
        <v>65</v>
      </c>
      <c r="F10" s="28"/>
      <c r="G10" s="31"/>
      <c r="H10" s="31"/>
      <c r="I10" s="31"/>
      <c r="J10" s="31"/>
      <c r="K10" s="28"/>
    </row>
    <row r="11" spans="1:34" ht="8.25" customHeight="1" thickBot="1">
      <c r="A11" s="62"/>
      <c r="B11" s="62"/>
      <c r="C11" s="62"/>
      <c r="D11" s="62"/>
      <c r="E11" s="62"/>
      <c r="F11" s="62"/>
      <c r="G11" s="62"/>
      <c r="H11" s="62"/>
      <c r="I11" s="62"/>
      <c r="J11" s="62"/>
      <c r="K11" s="62"/>
    </row>
    <row r="12" spans="1:34" ht="13.5">
      <c r="A12" s="304"/>
      <c r="B12" s="33"/>
      <c r="C12" s="270"/>
      <c r="D12" s="271"/>
      <c r="E12" s="33"/>
      <c r="F12" s="271"/>
      <c r="G12" s="270"/>
      <c r="H12" s="33"/>
      <c r="I12" s="271"/>
      <c r="J12" s="1769" t="s">
        <v>310</v>
      </c>
      <c r="K12" s="1770"/>
    </row>
    <row r="13" spans="1:34" ht="13.5">
      <c r="A13" s="733" t="s">
        <v>78</v>
      </c>
      <c r="B13" s="34" t="s">
        <v>72</v>
      </c>
      <c r="C13" s="1173" t="str">
        <f>CONCATENATE("Fakti i vitit"," ",VALUE('Te dhena fillesat 2022'!$D$4-2))</f>
        <v>Fakti i vitit 2020</v>
      </c>
      <c r="D13" s="1174"/>
      <c r="E13" s="1771" t="str">
        <f>CONCATENATE("I pritshmi i vitit"," ",VALUE('Te dhena fillesat 2022'!$D$4-1))</f>
        <v>I pritshmi i vitit 2021</v>
      </c>
      <c r="F13" s="1772"/>
      <c r="G13" s="1771" t="str">
        <f>CONCATENATE("Parashikimi për vitin"," ",VALUE('Te dhena fillesat 2022'!$D$4))</f>
        <v>Parashikimi për vitin 2022</v>
      </c>
      <c r="H13" s="1773"/>
      <c r="I13" s="1772"/>
      <c r="J13" s="1175" t="str">
        <f>CONCATENATE(VALUE('Te dhena fillesat 2022'!$D$4+1))</f>
        <v>2023</v>
      </c>
      <c r="K13" s="1175" t="str">
        <f>CONCATENATE(VALUE('Te dhena fillesat 2022'!$D$4+2))</f>
        <v>2024</v>
      </c>
      <c r="AE13" s="959"/>
    </row>
    <row r="14" spans="1:34">
      <c r="A14" s="283"/>
      <c r="B14" s="27"/>
      <c r="C14" s="22" t="s">
        <v>63</v>
      </c>
      <c r="D14" s="22" t="s">
        <v>80</v>
      </c>
      <c r="E14" s="19" t="s">
        <v>63</v>
      </c>
      <c r="F14" s="19" t="s">
        <v>80</v>
      </c>
      <c r="G14" s="19" t="s">
        <v>64</v>
      </c>
      <c r="H14" s="19" t="s">
        <v>76</v>
      </c>
      <c r="I14" s="22" t="s">
        <v>77</v>
      </c>
      <c r="J14" s="22" t="s">
        <v>76</v>
      </c>
      <c r="K14" s="22" t="s">
        <v>76</v>
      </c>
      <c r="X14" s="1095" t="s">
        <v>960</v>
      </c>
      <c r="Z14" s="1095" t="s">
        <v>956</v>
      </c>
      <c r="AB14" s="1095" t="s">
        <v>957</v>
      </c>
      <c r="AD14" s="1095" t="s">
        <v>85</v>
      </c>
      <c r="AE14" s="959"/>
      <c r="AF14" s="1098" t="s">
        <v>958</v>
      </c>
      <c r="AH14" s="1098" t="s">
        <v>959</v>
      </c>
    </row>
    <row r="15" spans="1:34">
      <c r="A15" s="287">
        <v>1</v>
      </c>
      <c r="B15" s="65">
        <v>2</v>
      </c>
      <c r="C15" s="170">
        <v>3</v>
      </c>
      <c r="D15" s="240">
        <v>4</v>
      </c>
      <c r="E15" s="241">
        <v>5</v>
      </c>
      <c r="F15" s="240">
        <v>6</v>
      </c>
      <c r="G15" s="241">
        <v>7</v>
      </c>
      <c r="H15" s="241">
        <v>8</v>
      </c>
      <c r="I15" s="242">
        <v>9</v>
      </c>
      <c r="J15" s="242">
        <v>10</v>
      </c>
      <c r="K15" s="734">
        <v>11</v>
      </c>
      <c r="R15" t="s">
        <v>479</v>
      </c>
      <c r="X15" s="959" t="s">
        <v>952</v>
      </c>
      <c r="Y15" s="959" t="s">
        <v>953</v>
      </c>
      <c r="Z15" s="959" t="s">
        <v>954</v>
      </c>
      <c r="AA15" s="959" t="s">
        <v>955</v>
      </c>
      <c r="AB15" s="959" t="s">
        <v>954</v>
      </c>
      <c r="AC15" s="959" t="s">
        <v>955</v>
      </c>
      <c r="AD15" s="959" t="s">
        <v>954</v>
      </c>
      <c r="AE15" s="959" t="s">
        <v>955</v>
      </c>
      <c r="AF15" s="1097" t="s">
        <v>954</v>
      </c>
      <c r="AG15" s="1097" t="s">
        <v>955</v>
      </c>
    </row>
    <row r="16" spans="1:34">
      <c r="A16" s="260"/>
      <c r="B16" s="1062" t="s">
        <v>97</v>
      </c>
      <c r="C16" s="842"/>
      <c r="D16" s="842"/>
      <c r="E16" s="842"/>
      <c r="F16" s="842"/>
      <c r="G16" s="842"/>
      <c r="H16" s="842"/>
      <c r="I16" s="842"/>
      <c r="J16" s="842"/>
      <c r="K16" s="843"/>
      <c r="Q16">
        <f>IF(AND(H16=0,I16=0),0,1)</f>
        <v>0</v>
      </c>
      <c r="V16" s="959">
        <f>SUM(H16:I16)</f>
        <v>0</v>
      </c>
      <c r="W16" s="959">
        <f>SUM(E16:F16)</f>
        <v>0</v>
      </c>
      <c r="AE16" s="959"/>
    </row>
    <row r="17" spans="1:39" s="226" customFormat="1" ht="15" customHeight="1">
      <c r="A17" s="1159">
        <v>602</v>
      </c>
      <c r="B17" s="1160" t="s">
        <v>249</v>
      </c>
      <c r="C17" s="1161">
        <f t="shared" ref="C17:K17" si="0">SUM(C18:C23)</f>
        <v>367</v>
      </c>
      <c r="D17" s="1161">
        <f t="shared" si="0"/>
        <v>0</v>
      </c>
      <c r="E17" s="1161">
        <f t="shared" si="0"/>
        <v>620</v>
      </c>
      <c r="F17" s="1161">
        <f t="shared" si="0"/>
        <v>0</v>
      </c>
      <c r="G17" s="1161">
        <f t="shared" si="0"/>
        <v>740</v>
      </c>
      <c r="H17" s="1161">
        <f t="shared" si="0"/>
        <v>740</v>
      </c>
      <c r="I17" s="1161">
        <f t="shared" si="0"/>
        <v>0</v>
      </c>
      <c r="J17" s="1161">
        <f t="shared" si="0"/>
        <v>740</v>
      </c>
      <c r="K17" s="1161">
        <f t="shared" si="0"/>
        <v>740</v>
      </c>
      <c r="N17" s="1123"/>
      <c r="P17" s="226">
        <v>1</v>
      </c>
      <c r="Q17">
        <f t="shared" ref="Q17:Q80" si="1">IF(AND(H17=0,I17=0),0,1)</f>
        <v>1</v>
      </c>
      <c r="U17" s="226">
        <v>1</v>
      </c>
      <c r="V17" s="959">
        <f>SUM(H17:I17)</f>
        <v>740</v>
      </c>
      <c r="W17" s="959">
        <f t="shared" ref="W17:W80" si="2">SUM(E17:F17)</f>
        <v>620</v>
      </c>
      <c r="X17" s="1094">
        <f>SUM(X18:X23)</f>
        <v>0</v>
      </c>
      <c r="Y17" s="1094">
        <f t="shared" ref="Y17:AJ17" si="3">SUM(Y18:Y23)</f>
        <v>837240</v>
      </c>
      <c r="Z17" s="1094">
        <f t="shared" si="3"/>
        <v>0</v>
      </c>
      <c r="AA17" s="1094">
        <f t="shared" si="3"/>
        <v>1243996</v>
      </c>
      <c r="AB17" s="1094">
        <f t="shared" si="3"/>
        <v>0</v>
      </c>
      <c r="AC17" s="1094">
        <f t="shared" si="3"/>
        <v>2018764</v>
      </c>
      <c r="AD17" s="1094">
        <f t="shared" si="3"/>
        <v>0</v>
      </c>
      <c r="AE17" s="1094">
        <f t="shared" si="3"/>
        <v>4100000</v>
      </c>
      <c r="AF17" s="1099">
        <f t="shared" si="3"/>
        <v>0</v>
      </c>
      <c r="AG17" s="1099">
        <f t="shared" si="3"/>
        <v>4100</v>
      </c>
      <c r="AH17" s="1099">
        <f t="shared" si="3"/>
        <v>620</v>
      </c>
      <c r="AI17" s="1099">
        <f t="shared" si="3"/>
        <v>-4100</v>
      </c>
      <c r="AJ17" s="1094">
        <f t="shared" si="3"/>
        <v>0</v>
      </c>
      <c r="AL17" s="1099">
        <f t="shared" ref="AL17:AM48" si="4">E17-AF17</f>
        <v>620</v>
      </c>
      <c r="AM17" s="1099">
        <f t="shared" si="4"/>
        <v>-4100</v>
      </c>
    </row>
    <row r="18" spans="1:39" ht="15" customHeight="1">
      <c r="A18" s="262">
        <v>602.01</v>
      </c>
      <c r="B18" s="1063" t="s">
        <v>250</v>
      </c>
      <c r="C18" s="961"/>
      <c r="D18" s="961"/>
      <c r="E18" s="1083">
        <v>120</v>
      </c>
      <c r="F18" s="1083"/>
      <c r="G18" s="961">
        <v>120</v>
      </c>
      <c r="H18" s="961">
        <v>120</v>
      </c>
      <c r="I18" s="961"/>
      <c r="J18" s="961">
        <v>120</v>
      </c>
      <c r="K18" s="961">
        <v>120</v>
      </c>
      <c r="L18" s="226"/>
      <c r="M18">
        <f>A18*10000</f>
        <v>6020100</v>
      </c>
      <c r="N18" s="1122" t="str">
        <f>B18</f>
        <v>Kancelari</v>
      </c>
      <c r="O18" s="959">
        <f>(H18+I18)*1000</f>
        <v>120000</v>
      </c>
      <c r="Q18">
        <f t="shared" si="1"/>
        <v>1</v>
      </c>
      <c r="R18" s="959">
        <f>SUM(H18:I18)</f>
        <v>120</v>
      </c>
      <c r="V18" s="959">
        <f t="shared" ref="V18:V80" si="5">SUM(H18:I18)</f>
        <v>120</v>
      </c>
      <c r="W18" s="959">
        <f>SUM(E18:F18)</f>
        <v>120</v>
      </c>
      <c r="X18" s="959">
        <v>0</v>
      </c>
      <c r="Y18" s="959">
        <v>359490</v>
      </c>
      <c r="AA18" s="959">
        <v>1243996</v>
      </c>
      <c r="AC18" s="959">
        <v>496514</v>
      </c>
      <c r="AD18" s="959">
        <f t="shared" ref="AD18:AE23" si="6">SUM(X18,Z18,AB18)</f>
        <v>0</v>
      </c>
      <c r="AE18" s="959">
        <f t="shared" si="6"/>
        <v>2100000</v>
      </c>
      <c r="AF18" s="1097">
        <f>AD18/1000</f>
        <v>0</v>
      </c>
      <c r="AG18" s="1097">
        <f>AE18/1000</f>
        <v>2100</v>
      </c>
      <c r="AH18" s="1097">
        <f t="shared" ref="AH18:AI23" si="7">E18-AF18</f>
        <v>120</v>
      </c>
      <c r="AI18" s="1097">
        <f t="shared" si="7"/>
        <v>-2100</v>
      </c>
      <c r="AJ18" s="959"/>
      <c r="AK18">
        <f>AI18*1000-900000</f>
        <v>-3000000</v>
      </c>
      <c r="AL18" s="1099">
        <f t="shared" si="4"/>
        <v>120</v>
      </c>
      <c r="AM18" s="1099">
        <f t="shared" si="4"/>
        <v>-2100</v>
      </c>
    </row>
    <row r="19" spans="1:39" ht="15" customHeight="1">
      <c r="A19" s="262">
        <v>602.02</v>
      </c>
      <c r="B19" s="1063" t="s">
        <v>251</v>
      </c>
      <c r="C19" s="961">
        <v>367</v>
      </c>
      <c r="D19" s="961"/>
      <c r="E19" s="1083">
        <v>500</v>
      </c>
      <c r="F19" s="1083"/>
      <c r="G19" s="961">
        <v>550</v>
      </c>
      <c r="H19" s="961">
        <v>550</v>
      </c>
      <c r="I19" s="961"/>
      <c r="J19" s="961">
        <v>550</v>
      </c>
      <c r="K19" s="961">
        <v>550</v>
      </c>
      <c r="L19" s="226"/>
      <c r="M19">
        <f t="shared" ref="M19:M82" si="8">A19*10000</f>
        <v>6020200</v>
      </c>
      <c r="N19" s="1122" t="str">
        <f t="shared" ref="N19:N82" si="9">B19</f>
        <v>Materiale per pastrim, dezinfektim, ngrohje dhe ndriçim</v>
      </c>
      <c r="O19" s="959">
        <f t="shared" ref="O19:O82" si="10">(H19+I19)*1000</f>
        <v>550000</v>
      </c>
      <c r="Q19">
        <f t="shared" si="1"/>
        <v>1</v>
      </c>
      <c r="R19" s="959">
        <f t="shared" ref="R19:R82" si="11">SUM(H19:I19)</f>
        <v>550</v>
      </c>
      <c r="V19" s="959">
        <f t="shared" si="5"/>
        <v>550</v>
      </c>
      <c r="W19" s="959">
        <f t="shared" si="2"/>
        <v>500</v>
      </c>
      <c r="X19" s="959">
        <v>0</v>
      </c>
      <c r="Y19" s="959">
        <v>477750</v>
      </c>
      <c r="AC19" s="959">
        <v>2250</v>
      </c>
      <c r="AD19" s="959">
        <f t="shared" si="6"/>
        <v>0</v>
      </c>
      <c r="AE19" s="959">
        <f t="shared" si="6"/>
        <v>480000</v>
      </c>
      <c r="AF19" s="1097">
        <f t="shared" ref="AF19:AG23" si="12">AD19/1000</f>
        <v>0</v>
      </c>
      <c r="AG19" s="1097">
        <f t="shared" si="12"/>
        <v>480</v>
      </c>
      <c r="AH19" s="1097">
        <f t="shared" si="7"/>
        <v>500</v>
      </c>
      <c r="AI19" s="1097">
        <f t="shared" si="7"/>
        <v>-480</v>
      </c>
      <c r="AJ19" s="959"/>
      <c r="AL19" s="1099">
        <f t="shared" si="4"/>
        <v>500</v>
      </c>
      <c r="AM19" s="1099">
        <f t="shared" si="4"/>
        <v>-480</v>
      </c>
    </row>
    <row r="20" spans="1:39" ht="15" customHeight="1">
      <c r="A20" s="262">
        <v>602.03</v>
      </c>
      <c r="B20" s="1063" t="s">
        <v>252</v>
      </c>
      <c r="C20" s="961"/>
      <c r="D20" s="961"/>
      <c r="E20" s="1083"/>
      <c r="F20" s="1083"/>
      <c r="G20" s="961">
        <v>40</v>
      </c>
      <c r="H20" s="961">
        <v>40</v>
      </c>
      <c r="I20" s="961"/>
      <c r="J20" s="961">
        <v>40</v>
      </c>
      <c r="K20" s="961">
        <v>40</v>
      </c>
      <c r="L20" s="226"/>
      <c r="M20">
        <f t="shared" si="8"/>
        <v>6020300</v>
      </c>
      <c r="N20" s="1122" t="str">
        <f t="shared" si="9"/>
        <v>Materiale per funksionimin e pajisjeve te zyres</v>
      </c>
      <c r="O20" s="959">
        <f t="shared" si="10"/>
        <v>40000</v>
      </c>
      <c r="Q20">
        <f t="shared" si="1"/>
        <v>1</v>
      </c>
      <c r="R20" s="959">
        <f t="shared" si="11"/>
        <v>40</v>
      </c>
      <c r="V20" s="959">
        <f t="shared" si="5"/>
        <v>40</v>
      </c>
      <c r="W20" s="959">
        <f t="shared" si="2"/>
        <v>0</v>
      </c>
      <c r="AC20" s="959">
        <v>280000</v>
      </c>
      <c r="AD20" s="959">
        <f t="shared" si="6"/>
        <v>0</v>
      </c>
      <c r="AE20" s="959">
        <f t="shared" si="6"/>
        <v>280000</v>
      </c>
      <c r="AF20" s="1097">
        <f t="shared" si="12"/>
        <v>0</v>
      </c>
      <c r="AG20" s="1097">
        <f t="shared" si="12"/>
        <v>280</v>
      </c>
      <c r="AH20" s="1097">
        <f t="shared" si="7"/>
        <v>0</v>
      </c>
      <c r="AI20" s="1097">
        <f t="shared" si="7"/>
        <v>-280</v>
      </c>
      <c r="AJ20" s="959"/>
      <c r="AL20" s="1099">
        <f t="shared" si="4"/>
        <v>0</v>
      </c>
      <c r="AM20" s="1099">
        <f t="shared" si="4"/>
        <v>-280</v>
      </c>
    </row>
    <row r="21" spans="1:39" ht="15" customHeight="1">
      <c r="A21" s="262">
        <v>602.04</v>
      </c>
      <c r="B21" s="1063" t="s">
        <v>253</v>
      </c>
      <c r="C21" s="961"/>
      <c r="D21" s="961"/>
      <c r="E21" s="1083"/>
      <c r="F21" s="1083"/>
      <c r="G21" s="961"/>
      <c r="H21" s="961"/>
      <c r="I21" s="961"/>
      <c r="J21" s="961"/>
      <c r="K21" s="961"/>
      <c r="L21" s="226"/>
      <c r="M21">
        <f t="shared" si="8"/>
        <v>6020400</v>
      </c>
      <c r="N21" s="1122" t="str">
        <f t="shared" si="9"/>
        <v>Materiale per funksionimin e pajisjeve speciale</v>
      </c>
      <c r="O21" s="959">
        <f t="shared" si="10"/>
        <v>0</v>
      </c>
      <c r="Q21">
        <f t="shared" si="1"/>
        <v>0</v>
      </c>
      <c r="R21" s="959">
        <f t="shared" si="11"/>
        <v>0</v>
      </c>
      <c r="V21" s="959">
        <f t="shared" si="5"/>
        <v>0</v>
      </c>
      <c r="W21" s="959">
        <f t="shared" si="2"/>
        <v>0</v>
      </c>
      <c r="AC21" s="959">
        <v>480000</v>
      </c>
      <c r="AD21" s="959">
        <f t="shared" si="6"/>
        <v>0</v>
      </c>
      <c r="AE21" s="959">
        <f t="shared" si="6"/>
        <v>480000</v>
      </c>
      <c r="AF21" s="1097">
        <f t="shared" si="12"/>
        <v>0</v>
      </c>
      <c r="AG21" s="1097">
        <f t="shared" si="12"/>
        <v>480</v>
      </c>
      <c r="AH21" s="1097">
        <f t="shared" si="7"/>
        <v>0</v>
      </c>
      <c r="AI21" s="1097">
        <f t="shared" si="7"/>
        <v>-480</v>
      </c>
      <c r="AJ21" s="959"/>
      <c r="AL21" s="1099">
        <f t="shared" si="4"/>
        <v>0</v>
      </c>
      <c r="AM21" s="1099">
        <f t="shared" si="4"/>
        <v>-480</v>
      </c>
    </row>
    <row r="22" spans="1:39" ht="15" customHeight="1">
      <c r="A22" s="262">
        <v>602.04999999999995</v>
      </c>
      <c r="B22" s="1063" t="s">
        <v>254</v>
      </c>
      <c r="C22" s="961"/>
      <c r="D22" s="961"/>
      <c r="E22" s="1083"/>
      <c r="F22" s="1083"/>
      <c r="G22" s="961">
        <v>30</v>
      </c>
      <c r="H22" s="961">
        <v>30</v>
      </c>
      <c r="I22" s="961"/>
      <c r="J22" s="961">
        <v>30</v>
      </c>
      <c r="K22" s="961">
        <v>30</v>
      </c>
      <c r="L22" s="226"/>
      <c r="M22">
        <f t="shared" si="8"/>
        <v>6020500</v>
      </c>
      <c r="N22" s="1122" t="str">
        <f t="shared" si="9"/>
        <v>Blerje dokumentacioni</v>
      </c>
      <c r="O22" s="959">
        <f t="shared" si="10"/>
        <v>30000</v>
      </c>
      <c r="Q22">
        <f t="shared" si="1"/>
        <v>1</v>
      </c>
      <c r="R22" s="959">
        <f t="shared" si="11"/>
        <v>30</v>
      </c>
      <c r="V22" s="959">
        <f t="shared" si="5"/>
        <v>30</v>
      </c>
      <c r="W22" s="959">
        <f t="shared" si="2"/>
        <v>0</v>
      </c>
      <c r="AC22" s="959">
        <v>280000</v>
      </c>
      <c r="AD22" s="959">
        <f t="shared" si="6"/>
        <v>0</v>
      </c>
      <c r="AE22" s="959">
        <f t="shared" si="6"/>
        <v>280000</v>
      </c>
      <c r="AF22" s="1097">
        <f t="shared" si="12"/>
        <v>0</v>
      </c>
      <c r="AG22" s="1097">
        <f t="shared" si="12"/>
        <v>280</v>
      </c>
      <c r="AH22" s="1097">
        <f t="shared" si="7"/>
        <v>0</v>
      </c>
      <c r="AI22" s="1097">
        <f t="shared" si="7"/>
        <v>-280</v>
      </c>
      <c r="AJ22" s="959"/>
      <c r="AL22" s="1099">
        <f t="shared" si="4"/>
        <v>0</v>
      </c>
      <c r="AM22" s="1099">
        <f t="shared" si="4"/>
        <v>-280</v>
      </c>
    </row>
    <row r="23" spans="1:39" ht="15" customHeight="1">
      <c r="A23" s="262">
        <v>602.09</v>
      </c>
      <c r="B23" s="1063" t="s">
        <v>255</v>
      </c>
      <c r="C23" s="961"/>
      <c r="D23" s="961"/>
      <c r="E23" s="1083">
        <v>0</v>
      </c>
      <c r="F23" s="1083"/>
      <c r="G23" s="961"/>
      <c r="H23" s="961"/>
      <c r="I23" s="961"/>
      <c r="J23" s="961"/>
      <c r="K23" s="961"/>
      <c r="L23" s="226"/>
      <c r="M23">
        <f t="shared" si="8"/>
        <v>6020900</v>
      </c>
      <c r="N23" s="1122" t="str">
        <f t="shared" si="9"/>
        <v>Furnizime dhe materiale te tjera zyre dhe te pergjishme</v>
      </c>
      <c r="O23" s="959">
        <f t="shared" si="10"/>
        <v>0</v>
      </c>
      <c r="Q23">
        <f t="shared" si="1"/>
        <v>0</v>
      </c>
      <c r="R23" s="959">
        <f t="shared" si="11"/>
        <v>0</v>
      </c>
      <c r="V23" s="959">
        <f t="shared" si="5"/>
        <v>0</v>
      </c>
      <c r="W23" s="959">
        <f t="shared" si="2"/>
        <v>0</v>
      </c>
      <c r="X23" s="959">
        <v>0</v>
      </c>
      <c r="AC23" s="959">
        <v>480000</v>
      </c>
      <c r="AD23" s="959">
        <f t="shared" si="6"/>
        <v>0</v>
      </c>
      <c r="AE23" s="959">
        <f t="shared" si="6"/>
        <v>480000</v>
      </c>
      <c r="AF23" s="1097">
        <f t="shared" si="12"/>
        <v>0</v>
      </c>
      <c r="AG23" s="1097">
        <f t="shared" si="12"/>
        <v>480</v>
      </c>
      <c r="AH23" s="1097">
        <f t="shared" si="7"/>
        <v>0</v>
      </c>
      <c r="AI23" s="1097">
        <f t="shared" si="7"/>
        <v>-480</v>
      </c>
      <c r="AJ23" s="959"/>
      <c r="AL23" s="1099">
        <f t="shared" si="4"/>
        <v>0</v>
      </c>
      <c r="AM23" s="1099">
        <f t="shared" si="4"/>
        <v>-480</v>
      </c>
    </row>
    <row r="24" spans="1:39" s="226" customFormat="1" ht="15" customHeight="1">
      <c r="A24" s="1162">
        <v>602.1</v>
      </c>
      <c r="B24" s="1160" t="s">
        <v>256</v>
      </c>
      <c r="C24" s="1161">
        <f>SUM(C25:C36)</f>
        <v>120</v>
      </c>
      <c r="D24" s="1161">
        <f t="shared" ref="D24:K24" si="13">SUM(D25:D36)</f>
        <v>0</v>
      </c>
      <c r="E24" s="1161">
        <f t="shared" si="13"/>
        <v>1080</v>
      </c>
      <c r="F24" s="1161">
        <f t="shared" si="13"/>
        <v>0</v>
      </c>
      <c r="G24" s="1161">
        <f t="shared" si="13"/>
        <v>120</v>
      </c>
      <c r="H24" s="1161">
        <f t="shared" si="13"/>
        <v>120</v>
      </c>
      <c r="I24" s="1161">
        <f t="shared" si="13"/>
        <v>0</v>
      </c>
      <c r="J24" s="1161">
        <f t="shared" si="13"/>
        <v>120</v>
      </c>
      <c r="K24" s="1161">
        <f t="shared" si="13"/>
        <v>120</v>
      </c>
      <c r="M24">
        <f t="shared" si="8"/>
        <v>6021000</v>
      </c>
      <c r="N24" s="1122" t="str">
        <f t="shared" si="9"/>
        <v>Materiale dhe sherbime speciale</v>
      </c>
      <c r="O24" s="959">
        <f t="shared" si="10"/>
        <v>120000</v>
      </c>
      <c r="P24" s="226">
        <v>1</v>
      </c>
      <c r="Q24">
        <f t="shared" si="1"/>
        <v>1</v>
      </c>
      <c r="R24" s="959">
        <f t="shared" si="11"/>
        <v>120</v>
      </c>
      <c r="U24" s="226">
        <v>1</v>
      </c>
      <c r="V24" s="959">
        <f t="shared" si="5"/>
        <v>120</v>
      </c>
      <c r="W24" s="959">
        <f t="shared" si="2"/>
        <v>1080</v>
      </c>
      <c r="X24" s="1094">
        <f t="shared" ref="X24:AJ24" si="14">SUM(X25:X36)</f>
        <v>0</v>
      </c>
      <c r="Y24" s="1094">
        <f t="shared" si="14"/>
        <v>3544719</v>
      </c>
      <c r="Z24" s="1094">
        <f t="shared" si="14"/>
        <v>0</v>
      </c>
      <c r="AA24" s="1094">
        <f t="shared" si="14"/>
        <v>922950</v>
      </c>
      <c r="AB24" s="1094">
        <f t="shared" si="14"/>
        <v>0</v>
      </c>
      <c r="AC24" s="1094">
        <f t="shared" si="14"/>
        <v>1939331</v>
      </c>
      <c r="AD24" s="1094">
        <f t="shared" si="14"/>
        <v>0</v>
      </c>
      <c r="AE24" s="1094">
        <f t="shared" si="14"/>
        <v>6407000</v>
      </c>
      <c r="AF24" s="1099">
        <f t="shared" si="14"/>
        <v>0</v>
      </c>
      <c r="AG24" s="1099">
        <f t="shared" si="14"/>
        <v>6407</v>
      </c>
      <c r="AH24" s="1099">
        <f t="shared" si="14"/>
        <v>1080</v>
      </c>
      <c r="AI24" s="1099">
        <f t="shared" si="14"/>
        <v>-6407</v>
      </c>
      <c r="AJ24" s="1094">
        <f t="shared" si="14"/>
        <v>0</v>
      </c>
      <c r="AK24">
        <f t="shared" ref="AK24:AK37" si="15">AI24*1000-900000</f>
        <v>-7307000</v>
      </c>
      <c r="AL24" s="1099">
        <f t="shared" si="4"/>
        <v>1080</v>
      </c>
      <c r="AM24" s="1099">
        <f t="shared" si="4"/>
        <v>-6407</v>
      </c>
    </row>
    <row r="25" spans="1:39" ht="15" customHeight="1">
      <c r="A25" s="262">
        <v>602.1001</v>
      </c>
      <c r="B25" s="1063" t="s">
        <v>257</v>
      </c>
      <c r="C25" s="961"/>
      <c r="D25" s="961"/>
      <c r="E25" s="1083"/>
      <c r="F25" s="1083"/>
      <c r="G25" s="961"/>
      <c r="H25" s="961"/>
      <c r="I25" s="961"/>
      <c r="J25" s="961"/>
      <c r="K25" s="961"/>
      <c r="L25" s="226"/>
      <c r="M25">
        <f t="shared" si="8"/>
        <v>6021001</v>
      </c>
      <c r="N25" s="1122" t="str">
        <f t="shared" si="9"/>
        <v>Uniforma dhe veshje te tjera speciale</v>
      </c>
      <c r="O25" s="959">
        <f t="shared" si="10"/>
        <v>0</v>
      </c>
      <c r="Q25">
        <f t="shared" si="1"/>
        <v>0</v>
      </c>
      <c r="R25" s="959">
        <f t="shared" si="11"/>
        <v>0</v>
      </c>
      <c r="V25" s="959">
        <f t="shared" si="5"/>
        <v>0</v>
      </c>
      <c r="W25" s="959">
        <f t="shared" si="2"/>
        <v>0</v>
      </c>
      <c r="AC25" s="1096">
        <v>280000</v>
      </c>
      <c r="AD25" s="959">
        <f t="shared" ref="AD25:AE36" si="16">SUM(X25,Z25,AB25)</f>
        <v>0</v>
      </c>
      <c r="AE25" s="959">
        <f t="shared" si="16"/>
        <v>280000</v>
      </c>
      <c r="AF25" s="1097">
        <f t="shared" ref="AF25:AG36" si="17">AD25/1000</f>
        <v>0</v>
      </c>
      <c r="AG25" s="1097">
        <f t="shared" si="17"/>
        <v>280</v>
      </c>
      <c r="AH25" s="1097">
        <f t="shared" ref="AH25:AI36" si="18">E25-AF25</f>
        <v>0</v>
      </c>
      <c r="AI25" s="1097">
        <f t="shared" si="18"/>
        <v>-280</v>
      </c>
      <c r="AJ25" s="959"/>
      <c r="AL25" s="1099">
        <f t="shared" si="4"/>
        <v>0</v>
      </c>
      <c r="AM25" s="1099">
        <f t="shared" si="4"/>
        <v>-280</v>
      </c>
    </row>
    <row r="26" spans="1:39" ht="15" customHeight="1">
      <c r="A26" s="262">
        <v>602.10019999999997</v>
      </c>
      <c r="B26" s="1063" t="s">
        <v>258</v>
      </c>
      <c r="C26" s="961"/>
      <c r="D26" s="961"/>
      <c r="E26" s="1083"/>
      <c r="F26" s="1083"/>
      <c r="G26" s="961"/>
      <c r="H26" s="961"/>
      <c r="I26" s="961"/>
      <c r="J26" s="961"/>
      <c r="K26" s="961"/>
      <c r="L26" s="226"/>
      <c r="M26">
        <f t="shared" si="8"/>
        <v>6021002</v>
      </c>
      <c r="N26" s="1122" t="str">
        <f t="shared" si="9"/>
        <v>Plehra kimike, furnitura veterinare, farera, fidane e te tjera produkte agrokulturore</v>
      </c>
      <c r="O26" s="959">
        <f t="shared" si="10"/>
        <v>0</v>
      </c>
      <c r="Q26">
        <f t="shared" si="1"/>
        <v>0</v>
      </c>
      <c r="R26" s="959">
        <f t="shared" si="11"/>
        <v>0</v>
      </c>
      <c r="V26" s="959">
        <f t="shared" si="5"/>
        <v>0</v>
      </c>
      <c r="W26" s="959">
        <f t="shared" si="2"/>
        <v>0</v>
      </c>
      <c r="AD26" s="959">
        <f t="shared" si="16"/>
        <v>0</v>
      </c>
      <c r="AE26" s="959">
        <f t="shared" si="16"/>
        <v>0</v>
      </c>
      <c r="AF26" s="1097">
        <f t="shared" si="17"/>
        <v>0</v>
      </c>
      <c r="AG26" s="1097">
        <f t="shared" si="17"/>
        <v>0</v>
      </c>
      <c r="AH26" s="1097">
        <f t="shared" si="18"/>
        <v>0</v>
      </c>
      <c r="AI26" s="1097">
        <f t="shared" si="18"/>
        <v>0</v>
      </c>
      <c r="AJ26" s="959"/>
      <c r="AL26" s="1099">
        <f t="shared" si="4"/>
        <v>0</v>
      </c>
      <c r="AM26" s="1099">
        <f t="shared" si="4"/>
        <v>0</v>
      </c>
    </row>
    <row r="27" spans="1:39" ht="15" customHeight="1">
      <c r="A27" s="262">
        <v>602.10029999999995</v>
      </c>
      <c r="B27" s="1063" t="s">
        <v>259</v>
      </c>
      <c r="C27" s="961">
        <v>120</v>
      </c>
      <c r="D27" s="961"/>
      <c r="E27" s="1083">
        <v>120</v>
      </c>
      <c r="F27" s="1083"/>
      <c r="G27" s="961">
        <v>120</v>
      </c>
      <c r="H27" s="961">
        <v>120</v>
      </c>
      <c r="I27" s="961"/>
      <c r="J27" s="961">
        <v>120</v>
      </c>
      <c r="K27" s="961">
        <v>120</v>
      </c>
      <c r="L27" s="226"/>
      <c r="M27">
        <f t="shared" si="8"/>
        <v>6021002.9999999991</v>
      </c>
      <c r="N27" s="1122" t="str">
        <f t="shared" si="9"/>
        <v>Ilaçe, materiale dhe proteza mjekesore</v>
      </c>
      <c r="O27" s="959">
        <f t="shared" si="10"/>
        <v>120000</v>
      </c>
      <c r="Q27">
        <f t="shared" si="1"/>
        <v>1</v>
      </c>
      <c r="R27" s="959">
        <f t="shared" si="11"/>
        <v>120</v>
      </c>
      <c r="V27" s="959">
        <f t="shared" si="5"/>
        <v>120</v>
      </c>
      <c r="W27" s="959">
        <f t="shared" si="2"/>
        <v>120</v>
      </c>
      <c r="X27" s="959">
        <v>0</v>
      </c>
      <c r="Y27" s="959">
        <v>105120</v>
      </c>
      <c r="AC27" s="959">
        <f>142000-120</f>
        <v>141880</v>
      </c>
      <c r="AD27" s="959">
        <f t="shared" si="16"/>
        <v>0</v>
      </c>
      <c r="AE27" s="959">
        <f t="shared" si="16"/>
        <v>247000</v>
      </c>
      <c r="AF27" s="1097">
        <f t="shared" si="17"/>
        <v>0</v>
      </c>
      <c r="AG27" s="1097">
        <f t="shared" si="17"/>
        <v>247</v>
      </c>
      <c r="AH27" s="1097">
        <f t="shared" si="18"/>
        <v>120</v>
      </c>
      <c r="AI27" s="1097">
        <f t="shared" si="18"/>
        <v>-247</v>
      </c>
      <c r="AJ27" s="959"/>
      <c r="AL27" s="1099">
        <f t="shared" si="4"/>
        <v>120</v>
      </c>
      <c r="AM27" s="1099">
        <f t="shared" si="4"/>
        <v>-247</v>
      </c>
    </row>
    <row r="28" spans="1:39" ht="15" customHeight="1">
      <c r="A28" s="262">
        <v>602.10040000000004</v>
      </c>
      <c r="B28" s="1063" t="s">
        <v>260</v>
      </c>
      <c r="C28" s="961"/>
      <c r="D28" s="961"/>
      <c r="E28" s="1083"/>
      <c r="F28" s="1083"/>
      <c r="G28" s="961"/>
      <c r="H28" s="961"/>
      <c r="I28" s="961"/>
      <c r="J28" s="961"/>
      <c r="K28" s="961"/>
      <c r="L28" s="226"/>
      <c r="M28">
        <f t="shared" si="8"/>
        <v>6021004</v>
      </c>
      <c r="N28" s="1122" t="str">
        <f t="shared" si="9"/>
        <v>Furnizime dhe sherbime me ushqim per mencat</v>
      </c>
      <c r="O28" s="959">
        <f t="shared" si="10"/>
        <v>0</v>
      </c>
      <c r="Q28">
        <f t="shared" si="1"/>
        <v>0</v>
      </c>
      <c r="R28" s="959">
        <f t="shared" si="11"/>
        <v>0</v>
      </c>
      <c r="V28" s="959">
        <f t="shared" si="5"/>
        <v>0</v>
      </c>
      <c r="W28" s="959">
        <f t="shared" si="2"/>
        <v>0</v>
      </c>
      <c r="AD28" s="959">
        <f t="shared" si="16"/>
        <v>0</v>
      </c>
      <c r="AE28" s="959">
        <f t="shared" si="16"/>
        <v>0</v>
      </c>
      <c r="AF28" s="1097">
        <f t="shared" si="17"/>
        <v>0</v>
      </c>
      <c r="AG28" s="1097">
        <f t="shared" si="17"/>
        <v>0</v>
      </c>
      <c r="AH28" s="1097">
        <f t="shared" si="18"/>
        <v>0</v>
      </c>
      <c r="AI28" s="1097">
        <f t="shared" si="18"/>
        <v>0</v>
      </c>
      <c r="AJ28" s="959"/>
      <c r="AL28" s="1099">
        <f t="shared" si="4"/>
        <v>0</v>
      </c>
      <c r="AM28" s="1099">
        <f t="shared" si="4"/>
        <v>0</v>
      </c>
    </row>
    <row r="29" spans="1:39" ht="15" customHeight="1">
      <c r="A29" s="262">
        <v>602.10050000000001</v>
      </c>
      <c r="B29" s="1063" t="s">
        <v>261</v>
      </c>
      <c r="C29" s="961"/>
      <c r="D29" s="961"/>
      <c r="E29" s="1083"/>
      <c r="F29" s="1083"/>
      <c r="G29" s="961"/>
      <c r="H29" s="961"/>
      <c r="I29" s="961"/>
      <c r="J29" s="961"/>
      <c r="K29" s="961"/>
      <c r="L29" s="226"/>
      <c r="M29">
        <f t="shared" si="8"/>
        <v>6021005</v>
      </c>
      <c r="N29" s="1122" t="str">
        <f t="shared" si="9"/>
        <v>Pajisje, materiale dhe sherbime ushtarake</v>
      </c>
      <c r="O29" s="959">
        <f t="shared" si="10"/>
        <v>0</v>
      </c>
      <c r="Q29">
        <f t="shared" si="1"/>
        <v>0</v>
      </c>
      <c r="R29" s="959">
        <f t="shared" si="11"/>
        <v>0</v>
      </c>
      <c r="V29" s="959">
        <f t="shared" si="5"/>
        <v>0</v>
      </c>
      <c r="W29" s="959">
        <f t="shared" si="2"/>
        <v>0</v>
      </c>
      <c r="AD29" s="959">
        <f t="shared" si="16"/>
        <v>0</v>
      </c>
      <c r="AE29" s="959">
        <f t="shared" si="16"/>
        <v>0</v>
      </c>
      <c r="AF29" s="1097">
        <f t="shared" si="17"/>
        <v>0</v>
      </c>
      <c r="AG29" s="1097">
        <f t="shared" si="17"/>
        <v>0</v>
      </c>
      <c r="AH29" s="1097">
        <f t="shared" si="18"/>
        <v>0</v>
      </c>
      <c r="AI29" s="1097">
        <f t="shared" si="18"/>
        <v>0</v>
      </c>
      <c r="AJ29" s="959"/>
      <c r="AL29" s="1099">
        <f t="shared" si="4"/>
        <v>0</v>
      </c>
      <c r="AM29" s="1099">
        <f t="shared" si="4"/>
        <v>0</v>
      </c>
    </row>
    <row r="30" spans="1:39" ht="15" customHeight="1">
      <c r="A30" s="262">
        <v>602.10059999999999</v>
      </c>
      <c r="B30" s="1063" t="s">
        <v>262</v>
      </c>
      <c r="C30" s="961"/>
      <c r="D30" s="961"/>
      <c r="E30" s="1083"/>
      <c r="F30" s="1083"/>
      <c r="G30" s="961"/>
      <c r="H30" s="961"/>
      <c r="I30" s="961"/>
      <c r="J30" s="961"/>
      <c r="K30" s="961"/>
      <c r="L30" s="226"/>
      <c r="M30">
        <f t="shared" si="8"/>
        <v>6021006</v>
      </c>
      <c r="N30" s="1122" t="str">
        <f t="shared" si="9"/>
        <v>Pajisje per perdorim policor</v>
      </c>
      <c r="O30" s="959">
        <f t="shared" si="10"/>
        <v>0</v>
      </c>
      <c r="Q30">
        <f t="shared" si="1"/>
        <v>0</v>
      </c>
      <c r="R30" s="959">
        <f t="shared" si="11"/>
        <v>0</v>
      </c>
      <c r="V30" s="959">
        <f t="shared" si="5"/>
        <v>0</v>
      </c>
      <c r="W30" s="959">
        <f t="shared" si="2"/>
        <v>0</v>
      </c>
      <c r="AD30" s="959">
        <f t="shared" si="16"/>
        <v>0</v>
      </c>
      <c r="AE30" s="959">
        <f t="shared" si="16"/>
        <v>0</v>
      </c>
      <c r="AF30" s="1097">
        <f t="shared" si="17"/>
        <v>0</v>
      </c>
      <c r="AG30" s="1097">
        <f t="shared" si="17"/>
        <v>0</v>
      </c>
      <c r="AH30" s="1097">
        <f t="shared" si="18"/>
        <v>0</v>
      </c>
      <c r="AI30" s="1097">
        <f t="shared" si="18"/>
        <v>0</v>
      </c>
      <c r="AJ30" s="959"/>
      <c r="AL30" s="1099">
        <f t="shared" si="4"/>
        <v>0</v>
      </c>
      <c r="AM30" s="1099">
        <f t="shared" si="4"/>
        <v>0</v>
      </c>
    </row>
    <row r="31" spans="1:39" ht="15" customHeight="1">
      <c r="A31" s="262">
        <v>602.10069999999996</v>
      </c>
      <c r="B31" s="1063" t="s">
        <v>263</v>
      </c>
      <c r="C31" s="961"/>
      <c r="D31" s="961"/>
      <c r="E31" s="1083"/>
      <c r="F31" s="1083"/>
      <c r="G31" s="961"/>
      <c r="H31" s="961"/>
      <c r="I31" s="961"/>
      <c r="J31" s="961"/>
      <c r="K31" s="961"/>
      <c r="L31" s="226"/>
      <c r="M31">
        <f t="shared" si="8"/>
        <v>6021007</v>
      </c>
      <c r="N31" s="1122" t="str">
        <f t="shared" si="9"/>
        <v>Libra dhe publikime profesionale</v>
      </c>
      <c r="O31" s="959">
        <f t="shared" si="10"/>
        <v>0</v>
      </c>
      <c r="Q31">
        <f t="shared" si="1"/>
        <v>0</v>
      </c>
      <c r="R31" s="959">
        <f t="shared" si="11"/>
        <v>0</v>
      </c>
      <c r="V31" s="959">
        <f t="shared" si="5"/>
        <v>0</v>
      </c>
      <c r="W31" s="959">
        <f t="shared" si="2"/>
        <v>0</v>
      </c>
      <c r="X31" s="959">
        <v>0</v>
      </c>
      <c r="Y31" s="959">
        <v>344238</v>
      </c>
      <c r="AC31" s="1096">
        <f>480000-24238</f>
        <v>455762</v>
      </c>
      <c r="AD31" s="959">
        <f t="shared" si="16"/>
        <v>0</v>
      </c>
      <c r="AE31" s="959">
        <f t="shared" si="16"/>
        <v>800000</v>
      </c>
      <c r="AF31" s="1097">
        <f t="shared" si="17"/>
        <v>0</v>
      </c>
      <c r="AG31" s="1097">
        <f t="shared" si="17"/>
        <v>800</v>
      </c>
      <c r="AH31" s="1097">
        <f t="shared" si="18"/>
        <v>0</v>
      </c>
      <c r="AI31" s="1097">
        <f t="shared" si="18"/>
        <v>-800</v>
      </c>
      <c r="AJ31" s="959"/>
      <c r="AL31" s="1099">
        <f t="shared" si="4"/>
        <v>0</v>
      </c>
      <c r="AM31" s="1099">
        <f t="shared" si="4"/>
        <v>-800</v>
      </c>
    </row>
    <row r="32" spans="1:39" ht="15" customHeight="1">
      <c r="A32" s="262">
        <v>602.10080000000005</v>
      </c>
      <c r="B32" s="1063" t="s">
        <v>264</v>
      </c>
      <c r="C32" s="961"/>
      <c r="D32" s="961"/>
      <c r="E32" s="1083"/>
      <c r="F32" s="1083"/>
      <c r="G32" s="961"/>
      <c r="H32" s="961"/>
      <c r="I32" s="961"/>
      <c r="J32" s="961"/>
      <c r="K32" s="961"/>
      <c r="L32" s="226"/>
      <c r="M32">
        <f t="shared" si="8"/>
        <v>6021008.0000000009</v>
      </c>
      <c r="N32" s="1122" t="str">
        <f t="shared" si="9"/>
        <v xml:space="preserve">Materiale per mbrojtjen e tokes, bimeve dhe kafsheve nga semundjet </v>
      </c>
      <c r="O32" s="959">
        <f t="shared" si="10"/>
        <v>0</v>
      </c>
      <c r="Q32">
        <f t="shared" si="1"/>
        <v>0</v>
      </c>
      <c r="R32" s="959">
        <f t="shared" si="11"/>
        <v>0</v>
      </c>
      <c r="V32" s="959">
        <f t="shared" si="5"/>
        <v>0</v>
      </c>
      <c r="W32" s="959">
        <f t="shared" si="2"/>
        <v>0</v>
      </c>
      <c r="AD32" s="959">
        <f t="shared" si="16"/>
        <v>0</v>
      </c>
      <c r="AE32" s="959">
        <f t="shared" si="16"/>
        <v>0</v>
      </c>
      <c r="AF32" s="1097">
        <f t="shared" si="17"/>
        <v>0</v>
      </c>
      <c r="AG32" s="1097">
        <f t="shared" si="17"/>
        <v>0</v>
      </c>
      <c r="AH32" s="1097">
        <f t="shared" si="18"/>
        <v>0</v>
      </c>
      <c r="AI32" s="1097">
        <f t="shared" si="18"/>
        <v>0</v>
      </c>
      <c r="AJ32" s="959"/>
      <c r="AL32" s="1099">
        <f t="shared" si="4"/>
        <v>0</v>
      </c>
      <c r="AM32" s="1099">
        <f t="shared" si="4"/>
        <v>0</v>
      </c>
    </row>
    <row r="33" spans="1:39" ht="15" customHeight="1">
      <c r="A33" s="262">
        <v>602.10090000000002</v>
      </c>
      <c r="B33" s="1063" t="s">
        <v>265</v>
      </c>
      <c r="C33" s="961"/>
      <c r="D33" s="961"/>
      <c r="E33" s="1083"/>
      <c r="F33" s="1083"/>
      <c r="G33" s="961"/>
      <c r="H33" s="961"/>
      <c r="I33" s="961"/>
      <c r="J33" s="961"/>
      <c r="K33" s="961"/>
      <c r="L33" s="226"/>
      <c r="M33">
        <f t="shared" si="8"/>
        <v>6021009</v>
      </c>
      <c r="N33" s="1122" t="str">
        <f t="shared" si="9"/>
        <v>Materiale dhe pajisje labratorike te sherbimit publik</v>
      </c>
      <c r="O33" s="959">
        <f t="shared" si="10"/>
        <v>0</v>
      </c>
      <c r="Q33">
        <f t="shared" si="1"/>
        <v>0</v>
      </c>
      <c r="R33" s="959">
        <f t="shared" si="11"/>
        <v>0</v>
      </c>
      <c r="V33" s="959">
        <f t="shared" si="5"/>
        <v>0</v>
      </c>
      <c r="W33" s="959">
        <f t="shared" si="2"/>
        <v>0</v>
      </c>
      <c r="X33" s="959">
        <v>0</v>
      </c>
      <c r="Y33" s="959">
        <v>215568</v>
      </c>
      <c r="AC33" s="959">
        <v>284432</v>
      </c>
      <c r="AD33" s="959">
        <f t="shared" si="16"/>
        <v>0</v>
      </c>
      <c r="AE33" s="959">
        <f t="shared" si="16"/>
        <v>500000</v>
      </c>
      <c r="AF33" s="1097">
        <f t="shared" si="17"/>
        <v>0</v>
      </c>
      <c r="AG33" s="1097">
        <f t="shared" si="17"/>
        <v>500</v>
      </c>
      <c r="AH33" s="1097">
        <f t="shared" si="18"/>
        <v>0</v>
      </c>
      <c r="AI33" s="1097">
        <f t="shared" si="18"/>
        <v>-500</v>
      </c>
      <c r="AJ33" s="959"/>
      <c r="AL33" s="1099">
        <f t="shared" si="4"/>
        <v>0</v>
      </c>
      <c r="AM33" s="1099">
        <f t="shared" si="4"/>
        <v>-500</v>
      </c>
    </row>
    <row r="34" spans="1:39" ht="15" customHeight="1">
      <c r="A34" s="263">
        <v>602.101</v>
      </c>
      <c r="B34" s="1063" t="s">
        <v>266</v>
      </c>
      <c r="C34" s="961"/>
      <c r="D34" s="961"/>
      <c r="E34" s="1083"/>
      <c r="F34" s="1083"/>
      <c r="G34" s="961"/>
      <c r="H34" s="961"/>
      <c r="I34" s="961"/>
      <c r="J34" s="961"/>
      <c r="K34" s="961"/>
      <c r="L34" s="226"/>
      <c r="M34">
        <f t="shared" si="8"/>
        <v>6021010</v>
      </c>
      <c r="N34" s="1122" t="str">
        <f t="shared" si="9"/>
        <v>Shpenzime per prodhim dokumentacioni specifik</v>
      </c>
      <c r="O34" s="959">
        <f t="shared" si="10"/>
        <v>0</v>
      </c>
      <c r="Q34">
        <f t="shared" si="1"/>
        <v>0</v>
      </c>
      <c r="R34" s="959">
        <f t="shared" si="11"/>
        <v>0</v>
      </c>
      <c r="V34" s="959">
        <f t="shared" si="5"/>
        <v>0</v>
      </c>
      <c r="W34" s="959">
        <f t="shared" si="2"/>
        <v>0</v>
      </c>
      <c r="Y34" s="959">
        <f>2151000+390000</f>
        <v>2541000</v>
      </c>
      <c r="AA34" s="959">
        <f>394625*1.2+449400</f>
        <v>922950</v>
      </c>
      <c r="AC34" s="959">
        <v>36050</v>
      </c>
      <c r="AD34" s="959">
        <f t="shared" si="16"/>
        <v>0</v>
      </c>
      <c r="AE34" s="959">
        <f t="shared" si="16"/>
        <v>3500000</v>
      </c>
      <c r="AF34" s="1097">
        <f t="shared" si="17"/>
        <v>0</v>
      </c>
      <c r="AG34" s="1097">
        <f t="shared" si="17"/>
        <v>3500</v>
      </c>
      <c r="AH34" s="1097">
        <f t="shared" si="18"/>
        <v>0</v>
      </c>
      <c r="AI34" s="1097">
        <f t="shared" si="18"/>
        <v>-3500</v>
      </c>
      <c r="AJ34" s="959"/>
      <c r="AK34" s="178">
        <f>3000000-2941496</f>
        <v>58504</v>
      </c>
      <c r="AL34" s="1099">
        <f t="shared" si="4"/>
        <v>0</v>
      </c>
      <c r="AM34" s="1099">
        <f t="shared" si="4"/>
        <v>-3500</v>
      </c>
    </row>
    <row r="35" spans="1:39" ht="15" customHeight="1">
      <c r="A35" s="262">
        <v>602.10109999999997</v>
      </c>
      <c r="B35" s="1063" t="s">
        <v>267</v>
      </c>
      <c r="C35" s="961"/>
      <c r="D35" s="961"/>
      <c r="E35" s="1083"/>
      <c r="F35" s="1083"/>
      <c r="G35" s="961"/>
      <c r="H35" s="961"/>
      <c r="I35" s="961"/>
      <c r="J35" s="961"/>
      <c r="K35" s="961"/>
      <c r="L35" s="226"/>
      <c r="M35">
        <f t="shared" si="8"/>
        <v>6021011</v>
      </c>
      <c r="N35" s="1122" t="str">
        <f t="shared" si="9"/>
        <v>Softe informatike me karakter te pergjithshem</v>
      </c>
      <c r="O35" s="959">
        <f t="shared" si="10"/>
        <v>0</v>
      </c>
      <c r="Q35">
        <f t="shared" si="1"/>
        <v>0</v>
      </c>
      <c r="R35" s="959">
        <f t="shared" si="11"/>
        <v>0</v>
      </c>
      <c r="V35" s="959">
        <f t="shared" si="5"/>
        <v>0</v>
      </c>
      <c r="W35" s="959">
        <f t="shared" si="2"/>
        <v>0</v>
      </c>
      <c r="AC35" s="1095">
        <v>280000</v>
      </c>
      <c r="AD35" s="959">
        <f t="shared" si="16"/>
        <v>0</v>
      </c>
      <c r="AE35" s="959">
        <f t="shared" si="16"/>
        <v>280000</v>
      </c>
      <c r="AF35" s="1097">
        <f t="shared" si="17"/>
        <v>0</v>
      </c>
      <c r="AG35" s="1097">
        <f t="shared" si="17"/>
        <v>280</v>
      </c>
      <c r="AH35" s="1097">
        <f t="shared" si="18"/>
        <v>0</v>
      </c>
      <c r="AI35" s="1097">
        <f t="shared" si="18"/>
        <v>-280</v>
      </c>
      <c r="AJ35" s="959"/>
      <c r="AL35" s="1099">
        <f t="shared" si="4"/>
        <v>0</v>
      </c>
      <c r="AM35" s="1099">
        <f t="shared" si="4"/>
        <v>-280</v>
      </c>
    </row>
    <row r="36" spans="1:39" ht="15" customHeight="1">
      <c r="A36" s="262">
        <v>602.10990000000004</v>
      </c>
      <c r="B36" s="1063" t="s">
        <v>268</v>
      </c>
      <c r="C36" s="961"/>
      <c r="D36" s="961"/>
      <c r="E36" s="1083">
        <v>960</v>
      </c>
      <c r="F36" s="1083"/>
      <c r="G36" s="961"/>
      <c r="H36" s="961"/>
      <c r="I36" s="961"/>
      <c r="J36" s="961"/>
      <c r="K36" s="961"/>
      <c r="L36" s="226"/>
      <c r="M36">
        <f t="shared" si="8"/>
        <v>6021099</v>
      </c>
      <c r="N36" s="1122" t="str">
        <f t="shared" si="9"/>
        <v>Te tjera materiale dhe sherbime speciale</v>
      </c>
      <c r="O36" s="959">
        <f t="shared" si="10"/>
        <v>0</v>
      </c>
      <c r="Q36">
        <f t="shared" si="1"/>
        <v>0</v>
      </c>
      <c r="R36" s="959">
        <f t="shared" si="11"/>
        <v>0</v>
      </c>
      <c r="V36" s="959">
        <f t="shared" si="5"/>
        <v>0</v>
      </c>
      <c r="W36" s="959">
        <f t="shared" si="2"/>
        <v>960</v>
      </c>
      <c r="X36" s="959">
        <v>0</v>
      </c>
      <c r="Y36" s="959">
        <v>338793</v>
      </c>
      <c r="AC36" s="959">
        <v>461207</v>
      </c>
      <c r="AD36" s="959">
        <f t="shared" si="16"/>
        <v>0</v>
      </c>
      <c r="AE36" s="959">
        <f t="shared" si="16"/>
        <v>800000</v>
      </c>
      <c r="AF36" s="1097">
        <f t="shared" si="17"/>
        <v>0</v>
      </c>
      <c r="AG36" s="1097">
        <f t="shared" si="17"/>
        <v>800</v>
      </c>
      <c r="AH36" s="1097">
        <f t="shared" si="18"/>
        <v>960</v>
      </c>
      <c r="AI36" s="1097">
        <f t="shared" si="18"/>
        <v>-800</v>
      </c>
      <c r="AJ36" s="959"/>
      <c r="AL36" s="1099">
        <f t="shared" si="4"/>
        <v>960</v>
      </c>
      <c r="AM36" s="1099">
        <f t="shared" si="4"/>
        <v>-800</v>
      </c>
    </row>
    <row r="37" spans="1:39" s="226" customFormat="1" ht="15" customHeight="1">
      <c r="A37" s="1163">
        <v>602.20000000000005</v>
      </c>
      <c r="B37" s="1160" t="s">
        <v>241</v>
      </c>
      <c r="C37" s="1161">
        <f t="shared" ref="C37:K37" si="19">SUM(C38:C51)</f>
        <v>164</v>
      </c>
      <c r="D37" s="1161">
        <f t="shared" si="19"/>
        <v>0</v>
      </c>
      <c r="E37" s="1161">
        <f t="shared" si="19"/>
        <v>195</v>
      </c>
      <c r="F37" s="1161">
        <f t="shared" si="19"/>
        <v>0</v>
      </c>
      <c r="G37" s="1161">
        <f t="shared" si="19"/>
        <v>3190</v>
      </c>
      <c r="H37" s="1161">
        <f t="shared" si="19"/>
        <v>3190</v>
      </c>
      <c r="I37" s="1161">
        <f t="shared" si="19"/>
        <v>0</v>
      </c>
      <c r="J37" s="1161">
        <f t="shared" si="19"/>
        <v>4190</v>
      </c>
      <c r="K37" s="1161">
        <f t="shared" si="19"/>
        <v>4190</v>
      </c>
      <c r="M37">
        <f t="shared" si="8"/>
        <v>6022000</v>
      </c>
      <c r="N37" s="1122" t="str">
        <f t="shared" si="9"/>
        <v>Sherbime nga te trete</v>
      </c>
      <c r="O37" s="959">
        <f t="shared" si="10"/>
        <v>3190000</v>
      </c>
      <c r="P37" s="226">
        <v>1</v>
      </c>
      <c r="Q37">
        <f t="shared" si="1"/>
        <v>1</v>
      </c>
      <c r="R37" s="959">
        <f t="shared" si="11"/>
        <v>3190</v>
      </c>
      <c r="U37" s="226">
        <v>1</v>
      </c>
      <c r="V37" s="959">
        <f t="shared" si="5"/>
        <v>3190</v>
      </c>
      <c r="W37" s="959">
        <f t="shared" si="2"/>
        <v>195</v>
      </c>
      <c r="X37" s="1094">
        <f t="shared" ref="X37:AJ37" si="20">SUM(X38:X51)</f>
        <v>3837080</v>
      </c>
      <c r="Y37" s="1094">
        <f t="shared" si="20"/>
        <v>17180362</v>
      </c>
      <c r="Z37" s="1094">
        <f t="shared" si="20"/>
        <v>0</v>
      </c>
      <c r="AA37" s="1094">
        <f t="shared" si="20"/>
        <v>8734118</v>
      </c>
      <c r="AB37" s="1094">
        <f t="shared" si="20"/>
        <v>4662920</v>
      </c>
      <c r="AC37" s="1094">
        <f t="shared" si="20"/>
        <v>9172520</v>
      </c>
      <c r="AD37" s="1094">
        <f t="shared" si="20"/>
        <v>8500000</v>
      </c>
      <c r="AE37" s="1094">
        <f t="shared" si="20"/>
        <v>35087000</v>
      </c>
      <c r="AF37" s="1099">
        <f t="shared" si="20"/>
        <v>8500</v>
      </c>
      <c r="AG37" s="1099">
        <f t="shared" si="20"/>
        <v>35087</v>
      </c>
      <c r="AH37" s="1099">
        <f t="shared" si="20"/>
        <v>-8305</v>
      </c>
      <c r="AI37" s="1099">
        <f t="shared" si="20"/>
        <v>-35087</v>
      </c>
      <c r="AJ37" s="1094">
        <f t="shared" si="20"/>
        <v>0</v>
      </c>
      <c r="AK37">
        <f t="shared" si="15"/>
        <v>-35987000</v>
      </c>
      <c r="AL37" s="1099">
        <f t="shared" si="4"/>
        <v>-8305</v>
      </c>
      <c r="AM37" s="1099">
        <f t="shared" si="4"/>
        <v>-35087</v>
      </c>
    </row>
    <row r="38" spans="1:39" ht="15" customHeight="1">
      <c r="A38" s="262">
        <v>602.20010000000002</v>
      </c>
      <c r="B38" s="1063" t="s">
        <v>242</v>
      </c>
      <c r="C38" s="961"/>
      <c r="D38" s="961"/>
      <c r="E38" s="1083"/>
      <c r="F38" s="1083"/>
      <c r="G38" s="961">
        <v>3000</v>
      </c>
      <c r="H38" s="961">
        <v>3000</v>
      </c>
      <c r="I38" s="1083"/>
      <c r="J38" s="961">
        <v>4000</v>
      </c>
      <c r="K38" s="961">
        <v>4000</v>
      </c>
      <c r="L38" s="226"/>
      <c r="M38">
        <f t="shared" si="8"/>
        <v>6022001</v>
      </c>
      <c r="N38" s="1122" t="str">
        <f t="shared" si="9"/>
        <v>Elektricitet</v>
      </c>
      <c r="O38" s="959">
        <f t="shared" si="10"/>
        <v>3000000</v>
      </c>
      <c r="Q38">
        <f t="shared" si="1"/>
        <v>1</v>
      </c>
      <c r="R38" s="959">
        <f t="shared" si="11"/>
        <v>3000</v>
      </c>
      <c r="V38" s="959">
        <f t="shared" si="5"/>
        <v>3000</v>
      </c>
      <c r="W38" s="959">
        <f t="shared" si="2"/>
        <v>0</v>
      </c>
      <c r="X38" s="959">
        <v>1377509</v>
      </c>
      <c r="Y38" s="959">
        <v>4363364</v>
      </c>
      <c r="AB38" s="959">
        <v>122491</v>
      </c>
      <c r="AC38" s="959">
        <v>4036636</v>
      </c>
      <c r="AD38" s="959">
        <f t="shared" ref="AD38:AE51" si="21">SUM(X38,Z38,AB38)</f>
        <v>1500000</v>
      </c>
      <c r="AE38" s="959">
        <f t="shared" si="21"/>
        <v>8400000</v>
      </c>
      <c r="AF38" s="1097">
        <f t="shared" ref="AF38:AG51" si="22">AD38/1000</f>
        <v>1500</v>
      </c>
      <c r="AG38" s="1097">
        <f t="shared" si="22"/>
        <v>8400</v>
      </c>
      <c r="AH38" s="1097">
        <f t="shared" ref="AH38:AI56" si="23">E38-AF38</f>
        <v>-1500</v>
      </c>
      <c r="AI38" s="1097">
        <f t="shared" si="23"/>
        <v>-8400</v>
      </c>
      <c r="AJ38" s="959"/>
      <c r="AK38">
        <f>AI38*1000+3000000</f>
        <v>-5400000</v>
      </c>
      <c r="AL38" s="1099">
        <f t="shared" si="4"/>
        <v>-1500</v>
      </c>
      <c r="AM38" s="1099">
        <f t="shared" si="4"/>
        <v>-8400</v>
      </c>
    </row>
    <row r="39" spans="1:39" ht="15" customHeight="1">
      <c r="A39" s="262">
        <v>602.2002</v>
      </c>
      <c r="B39" s="1063" t="s">
        <v>269</v>
      </c>
      <c r="C39" s="961"/>
      <c r="D39" s="961"/>
      <c r="E39" s="1083"/>
      <c r="F39" s="1083"/>
      <c r="G39" s="961"/>
      <c r="H39" s="961"/>
      <c r="I39" s="961"/>
      <c r="J39" s="961"/>
      <c r="K39" s="961"/>
      <c r="L39" s="226"/>
      <c r="M39">
        <f t="shared" si="8"/>
        <v>6022002</v>
      </c>
      <c r="N39" s="1122" t="str">
        <f t="shared" si="9"/>
        <v>Uje</v>
      </c>
      <c r="O39" s="959">
        <f t="shared" si="10"/>
        <v>0</v>
      </c>
      <c r="Q39">
        <f t="shared" si="1"/>
        <v>0</v>
      </c>
      <c r="R39" s="959">
        <f t="shared" si="11"/>
        <v>0</v>
      </c>
      <c r="V39" s="959">
        <f t="shared" si="5"/>
        <v>0</v>
      </c>
      <c r="W39" s="959">
        <f t="shared" si="2"/>
        <v>0</v>
      </c>
      <c r="X39" s="959">
        <v>1010076</v>
      </c>
      <c r="Y39" s="959">
        <v>2051232</v>
      </c>
      <c r="AB39" s="959">
        <v>1489924</v>
      </c>
      <c r="AC39" s="959">
        <f>1860956-12188</f>
        <v>1848768</v>
      </c>
      <c r="AD39" s="959">
        <f t="shared" si="21"/>
        <v>2500000</v>
      </c>
      <c r="AE39" s="959">
        <f t="shared" si="21"/>
        <v>3900000</v>
      </c>
      <c r="AF39" s="1097">
        <f t="shared" si="22"/>
        <v>2500</v>
      </c>
      <c r="AG39" s="1097">
        <f t="shared" si="22"/>
        <v>3900</v>
      </c>
      <c r="AH39" s="1097">
        <f t="shared" si="23"/>
        <v>-2500</v>
      </c>
      <c r="AI39" s="1097">
        <f t="shared" si="23"/>
        <v>-3900</v>
      </c>
      <c r="AJ39" s="959"/>
      <c r="AL39" s="1099">
        <f t="shared" si="4"/>
        <v>-2500</v>
      </c>
      <c r="AM39" s="1099">
        <f t="shared" si="4"/>
        <v>-3900</v>
      </c>
    </row>
    <row r="40" spans="1:39" ht="15" customHeight="1">
      <c r="A40" s="262">
        <v>602.20029999999997</v>
      </c>
      <c r="B40" s="1063" t="s">
        <v>270</v>
      </c>
      <c r="C40" s="961"/>
      <c r="D40" s="961"/>
      <c r="E40" s="1083"/>
      <c r="F40" s="1083"/>
      <c r="G40" s="961"/>
      <c r="H40" s="961"/>
      <c r="I40" s="961"/>
      <c r="J40" s="961"/>
      <c r="K40" s="961"/>
      <c r="L40" s="226"/>
      <c r="M40">
        <f t="shared" si="8"/>
        <v>6022003</v>
      </c>
      <c r="N40" s="1122" t="str">
        <f t="shared" si="9"/>
        <v>Sherbime telefonike</v>
      </c>
      <c r="O40" s="959">
        <f t="shared" si="10"/>
        <v>0</v>
      </c>
      <c r="Q40">
        <f t="shared" si="1"/>
        <v>0</v>
      </c>
      <c r="R40" s="959">
        <f t="shared" si="11"/>
        <v>0</v>
      </c>
      <c r="V40" s="959">
        <f t="shared" si="5"/>
        <v>0</v>
      </c>
      <c r="W40" s="959">
        <f t="shared" si="2"/>
        <v>0</v>
      </c>
      <c r="AD40" s="959">
        <f t="shared" si="21"/>
        <v>0</v>
      </c>
      <c r="AE40" s="959">
        <f t="shared" si="21"/>
        <v>0</v>
      </c>
      <c r="AF40" s="1097">
        <f t="shared" si="22"/>
        <v>0</v>
      </c>
      <c r="AG40" s="1097">
        <f t="shared" si="22"/>
        <v>0</v>
      </c>
      <c r="AH40" s="1097">
        <f t="shared" si="23"/>
        <v>0</v>
      </c>
      <c r="AI40" s="1097">
        <f t="shared" si="23"/>
        <v>0</v>
      </c>
      <c r="AJ40" s="959"/>
      <c r="AL40" s="1099">
        <f t="shared" si="4"/>
        <v>0</v>
      </c>
      <c r="AM40" s="1099">
        <f t="shared" si="4"/>
        <v>0</v>
      </c>
    </row>
    <row r="41" spans="1:39" ht="15" customHeight="1">
      <c r="A41" s="262"/>
      <c r="B41" s="1064" t="s">
        <v>243</v>
      </c>
      <c r="C41" s="961">
        <v>66</v>
      </c>
      <c r="D41" s="1083"/>
      <c r="E41" s="1083">
        <v>70</v>
      </c>
      <c r="F41" s="1083"/>
      <c r="G41" s="961">
        <v>65</v>
      </c>
      <c r="H41" s="961">
        <v>65</v>
      </c>
      <c r="I41" s="961"/>
      <c r="J41" s="961">
        <v>65</v>
      </c>
      <c r="K41" s="961">
        <v>65</v>
      </c>
      <c r="L41" s="226"/>
      <c r="M41">
        <f t="shared" si="8"/>
        <v>0</v>
      </c>
      <c r="N41" s="1122" t="str">
        <f t="shared" si="9"/>
        <v>Telefoni fikse</v>
      </c>
      <c r="O41" s="959">
        <f t="shared" si="10"/>
        <v>65000</v>
      </c>
      <c r="Q41">
        <f t="shared" si="1"/>
        <v>1</v>
      </c>
      <c r="R41" s="959">
        <f t="shared" si="11"/>
        <v>65</v>
      </c>
      <c r="V41" s="959">
        <f t="shared" si="5"/>
        <v>65</v>
      </c>
      <c r="W41" s="959">
        <f t="shared" si="2"/>
        <v>70</v>
      </c>
      <c r="X41" s="959">
        <v>275247</v>
      </c>
      <c r="Y41" s="959">
        <v>679661</v>
      </c>
      <c r="AB41" s="959">
        <v>924753</v>
      </c>
      <c r="AC41" s="959">
        <v>40339</v>
      </c>
      <c r="AD41" s="959">
        <f t="shared" si="21"/>
        <v>1200000</v>
      </c>
      <c r="AE41" s="959">
        <f t="shared" si="21"/>
        <v>720000</v>
      </c>
      <c r="AF41" s="1097">
        <f t="shared" si="22"/>
        <v>1200</v>
      </c>
      <c r="AG41" s="1097">
        <f t="shared" si="22"/>
        <v>720</v>
      </c>
      <c r="AH41" s="1097">
        <f t="shared" si="23"/>
        <v>-1130</v>
      </c>
      <c r="AI41" s="1097">
        <f t="shared" si="23"/>
        <v>-720</v>
      </c>
      <c r="AJ41" s="959"/>
      <c r="AL41" s="1099">
        <f t="shared" si="4"/>
        <v>-1130</v>
      </c>
      <c r="AM41" s="1099">
        <f t="shared" si="4"/>
        <v>-720</v>
      </c>
    </row>
    <row r="42" spans="1:39" ht="15" customHeight="1">
      <c r="A42" s="262"/>
      <c r="B42" s="1064" t="s">
        <v>1054</v>
      </c>
      <c r="C42" s="961">
        <v>25</v>
      </c>
      <c r="D42" s="961"/>
      <c r="E42" s="1083">
        <v>25</v>
      </c>
      <c r="F42" s="1083"/>
      <c r="G42" s="961">
        <v>25</v>
      </c>
      <c r="H42" s="961">
        <v>25</v>
      </c>
      <c r="I42" s="961"/>
      <c r="J42" s="961">
        <v>25</v>
      </c>
      <c r="K42" s="961">
        <v>25</v>
      </c>
      <c r="L42" s="226"/>
      <c r="M42">
        <f t="shared" si="8"/>
        <v>0</v>
      </c>
      <c r="N42" s="1122" t="str">
        <f t="shared" si="9"/>
        <v>Internet</v>
      </c>
      <c r="O42" s="959">
        <f t="shared" si="10"/>
        <v>25000</v>
      </c>
      <c r="Q42">
        <f t="shared" si="1"/>
        <v>1</v>
      </c>
      <c r="R42" s="959">
        <f t="shared" si="11"/>
        <v>25</v>
      </c>
      <c r="V42" s="959">
        <f t="shared" si="5"/>
        <v>25</v>
      </c>
      <c r="W42" s="959">
        <f t="shared" si="2"/>
        <v>25</v>
      </c>
      <c r="AC42" s="959">
        <v>120000</v>
      </c>
      <c r="AD42" s="959">
        <f t="shared" si="21"/>
        <v>0</v>
      </c>
      <c r="AE42" s="959">
        <f t="shared" si="21"/>
        <v>120000</v>
      </c>
      <c r="AF42" s="1097">
        <f t="shared" si="22"/>
        <v>0</v>
      </c>
      <c r="AG42" s="1097">
        <f t="shared" si="22"/>
        <v>120</v>
      </c>
      <c r="AH42" s="1097">
        <f t="shared" si="23"/>
        <v>25</v>
      </c>
      <c r="AI42" s="1097">
        <f t="shared" si="23"/>
        <v>-120</v>
      </c>
      <c r="AJ42" s="959"/>
      <c r="AL42" s="1099">
        <f t="shared" si="4"/>
        <v>25</v>
      </c>
      <c r="AM42" s="1099">
        <f t="shared" si="4"/>
        <v>-120</v>
      </c>
    </row>
    <row r="43" spans="1:39" ht="15" customHeight="1">
      <c r="A43" s="262">
        <v>602.20039999999995</v>
      </c>
      <c r="B43" s="1063" t="s">
        <v>271</v>
      </c>
      <c r="C43" s="961"/>
      <c r="D43" s="961"/>
      <c r="E43" s="1083"/>
      <c r="F43" s="1083"/>
      <c r="G43" s="961"/>
      <c r="H43" s="961"/>
      <c r="I43" s="961"/>
      <c r="J43" s="961"/>
      <c r="K43" s="961"/>
      <c r="L43" s="226"/>
      <c r="M43">
        <f t="shared" si="8"/>
        <v>6022003.9999999991</v>
      </c>
      <c r="N43" s="1122" t="str">
        <f t="shared" si="9"/>
        <v>Posta dhe sherbimi korrier</v>
      </c>
      <c r="O43" s="959">
        <f t="shared" si="10"/>
        <v>0</v>
      </c>
      <c r="Q43">
        <f t="shared" si="1"/>
        <v>0</v>
      </c>
      <c r="R43" s="959">
        <f t="shared" si="11"/>
        <v>0</v>
      </c>
      <c r="V43" s="959">
        <f t="shared" si="5"/>
        <v>0</v>
      </c>
      <c r="W43" s="959">
        <f t="shared" si="2"/>
        <v>0</v>
      </c>
      <c r="X43" s="959">
        <v>26424</v>
      </c>
      <c r="Y43" s="959">
        <v>29544</v>
      </c>
      <c r="AB43" s="959">
        <v>273576</v>
      </c>
      <c r="AC43" s="959">
        <v>1456</v>
      </c>
      <c r="AD43" s="959">
        <f t="shared" si="21"/>
        <v>300000</v>
      </c>
      <c r="AE43" s="959">
        <f t="shared" si="21"/>
        <v>31000</v>
      </c>
      <c r="AF43" s="1097">
        <f t="shared" si="22"/>
        <v>300</v>
      </c>
      <c r="AG43" s="1097">
        <f t="shared" si="22"/>
        <v>31</v>
      </c>
      <c r="AH43" s="1097">
        <f t="shared" si="23"/>
        <v>-300</v>
      </c>
      <c r="AI43" s="1097">
        <f t="shared" si="23"/>
        <v>-31</v>
      </c>
      <c r="AJ43" s="959"/>
      <c r="AL43" s="1099">
        <f t="shared" si="4"/>
        <v>-300</v>
      </c>
      <c r="AM43" s="1099">
        <f t="shared" si="4"/>
        <v>-31</v>
      </c>
    </row>
    <row r="44" spans="1:39" ht="15" customHeight="1">
      <c r="A44" s="262">
        <v>602.20050000000003</v>
      </c>
      <c r="B44" s="1063" t="s">
        <v>244</v>
      </c>
      <c r="C44" s="961"/>
      <c r="D44" s="961"/>
      <c r="E44" s="1083"/>
      <c r="F44" s="1083"/>
      <c r="G44" s="961"/>
      <c r="H44" s="961"/>
      <c r="I44" s="961"/>
      <c r="J44" s="961"/>
      <c r="K44" s="961"/>
      <c r="M44">
        <f t="shared" si="8"/>
        <v>6022005</v>
      </c>
      <c r="N44" s="1122" t="str">
        <f t="shared" si="9"/>
        <v>Sherbim per ngrohje</v>
      </c>
      <c r="O44" s="959">
        <f t="shared" si="10"/>
        <v>0</v>
      </c>
      <c r="Q44">
        <f t="shared" si="1"/>
        <v>0</v>
      </c>
      <c r="R44" s="959">
        <f t="shared" si="11"/>
        <v>0</v>
      </c>
      <c r="V44" s="959">
        <f t="shared" si="5"/>
        <v>0</v>
      </c>
      <c r="W44" s="959">
        <f t="shared" si="2"/>
        <v>0</v>
      </c>
      <c r="AD44" s="959">
        <f t="shared" si="21"/>
        <v>0</v>
      </c>
      <c r="AE44" s="959">
        <f t="shared" si="21"/>
        <v>0</v>
      </c>
      <c r="AF44" s="1097">
        <f t="shared" si="22"/>
        <v>0</v>
      </c>
      <c r="AG44" s="1097">
        <f t="shared" si="22"/>
        <v>0</v>
      </c>
      <c r="AH44" s="1097">
        <f t="shared" si="23"/>
        <v>0</v>
      </c>
      <c r="AI44" s="1097">
        <f t="shared" si="23"/>
        <v>0</v>
      </c>
      <c r="AJ44" s="959"/>
      <c r="AL44" s="1099">
        <f t="shared" si="4"/>
        <v>0</v>
      </c>
      <c r="AM44" s="1099">
        <f t="shared" si="4"/>
        <v>0</v>
      </c>
    </row>
    <row r="45" spans="1:39" ht="15" customHeight="1">
      <c r="A45" s="262">
        <v>602.20060000000001</v>
      </c>
      <c r="B45" s="1063" t="s">
        <v>272</v>
      </c>
      <c r="C45" s="961"/>
      <c r="D45" s="961"/>
      <c r="E45" s="1083"/>
      <c r="F45" s="1083"/>
      <c r="G45" s="961"/>
      <c r="H45" s="961"/>
      <c r="I45" s="961"/>
      <c r="J45" s="961"/>
      <c r="K45" s="961"/>
      <c r="M45">
        <f t="shared" si="8"/>
        <v>6022006</v>
      </c>
      <c r="N45" s="1122" t="str">
        <f t="shared" si="9"/>
        <v>Sherbime te ISSH per ISKSH</v>
      </c>
      <c r="O45" s="959">
        <f t="shared" si="10"/>
        <v>0</v>
      </c>
      <c r="Q45">
        <f t="shared" si="1"/>
        <v>0</v>
      </c>
      <c r="R45" s="959">
        <f t="shared" si="11"/>
        <v>0</v>
      </c>
      <c r="V45" s="959">
        <f t="shared" si="5"/>
        <v>0</v>
      </c>
      <c r="W45" s="959">
        <f t="shared" si="2"/>
        <v>0</v>
      </c>
      <c r="AD45" s="959">
        <f t="shared" si="21"/>
        <v>0</v>
      </c>
      <c r="AE45" s="959">
        <f t="shared" si="21"/>
        <v>0</v>
      </c>
      <c r="AF45" s="1097">
        <f t="shared" si="22"/>
        <v>0</v>
      </c>
      <c r="AG45" s="1097">
        <f t="shared" si="22"/>
        <v>0</v>
      </c>
      <c r="AH45" s="1097">
        <f t="shared" si="23"/>
        <v>0</v>
      </c>
      <c r="AI45" s="1097">
        <f t="shared" si="23"/>
        <v>0</v>
      </c>
      <c r="AJ45" s="959"/>
      <c r="AL45" s="1099">
        <f t="shared" si="4"/>
        <v>0</v>
      </c>
      <c r="AM45" s="1099">
        <f t="shared" si="4"/>
        <v>0</v>
      </c>
    </row>
    <row r="46" spans="1:39" ht="15" customHeight="1">
      <c r="A46" s="262">
        <v>602.20069999999998</v>
      </c>
      <c r="B46" s="1063" t="s">
        <v>332</v>
      </c>
      <c r="C46" s="961">
        <v>73</v>
      </c>
      <c r="D46" s="961"/>
      <c r="E46" s="1083">
        <v>100</v>
      </c>
      <c r="F46" s="1083"/>
      <c r="G46" s="961">
        <v>100</v>
      </c>
      <c r="H46" s="961">
        <v>100</v>
      </c>
      <c r="I46" s="961"/>
      <c r="J46" s="961">
        <v>100</v>
      </c>
      <c r="K46" s="961">
        <v>100</v>
      </c>
      <c r="M46">
        <f t="shared" si="8"/>
        <v>6022007</v>
      </c>
      <c r="N46" s="1122" t="str">
        <f t="shared" si="9"/>
        <v>Sherbimet bankare</v>
      </c>
      <c r="O46" s="959">
        <f t="shared" si="10"/>
        <v>100000</v>
      </c>
      <c r="Q46">
        <f t="shared" si="1"/>
        <v>1</v>
      </c>
      <c r="R46" s="959">
        <f t="shared" si="11"/>
        <v>100</v>
      </c>
      <c r="V46" s="959">
        <f t="shared" si="5"/>
        <v>100</v>
      </c>
      <c r="W46" s="959">
        <f t="shared" si="2"/>
        <v>100</v>
      </c>
      <c r="AC46" s="959">
        <v>100000</v>
      </c>
      <c r="AD46" s="959">
        <f t="shared" si="21"/>
        <v>0</v>
      </c>
      <c r="AE46" s="959">
        <f t="shared" si="21"/>
        <v>100000</v>
      </c>
      <c r="AF46" s="1097">
        <f t="shared" si="22"/>
        <v>0</v>
      </c>
      <c r="AG46" s="1097">
        <f t="shared" si="22"/>
        <v>100</v>
      </c>
      <c r="AH46" s="1097">
        <f t="shared" si="23"/>
        <v>100</v>
      </c>
      <c r="AI46" s="1097">
        <f t="shared" si="23"/>
        <v>-100</v>
      </c>
      <c r="AJ46" s="959"/>
      <c r="AL46" s="1099">
        <f t="shared" si="4"/>
        <v>100</v>
      </c>
      <c r="AM46" s="1099">
        <f t="shared" si="4"/>
        <v>-100</v>
      </c>
    </row>
    <row r="47" spans="1:39" ht="15" customHeight="1">
      <c r="A47" s="262">
        <v>602.20079999999996</v>
      </c>
      <c r="B47" s="1063" t="s">
        <v>273</v>
      </c>
      <c r="C47" s="961"/>
      <c r="D47" s="961"/>
      <c r="E47" s="1083"/>
      <c r="F47" s="1083"/>
      <c r="G47" s="961"/>
      <c r="H47" s="961"/>
      <c r="I47" s="961"/>
      <c r="J47" s="961"/>
      <c r="K47" s="961"/>
      <c r="M47">
        <f t="shared" si="8"/>
        <v>6022008</v>
      </c>
      <c r="N47" s="1122" t="str">
        <f t="shared" si="9"/>
        <v>Sherbime te sigurimit dhe ruajtjes</v>
      </c>
      <c r="O47" s="959">
        <f t="shared" si="10"/>
        <v>0</v>
      </c>
      <c r="Q47">
        <f t="shared" si="1"/>
        <v>0</v>
      </c>
      <c r="R47" s="959">
        <f t="shared" si="11"/>
        <v>0</v>
      </c>
      <c r="V47" s="959">
        <f t="shared" si="5"/>
        <v>0</v>
      </c>
      <c r="W47" s="959">
        <f t="shared" si="2"/>
        <v>0</v>
      </c>
      <c r="X47" s="959">
        <v>1147824</v>
      </c>
      <c r="Y47" s="959">
        <v>7374442</v>
      </c>
      <c r="AA47" s="959">
        <v>7776000</v>
      </c>
      <c r="AB47" s="959">
        <v>1852176</v>
      </c>
      <c r="AC47" s="959">
        <v>2049558</v>
      </c>
      <c r="AD47" s="959">
        <f t="shared" si="21"/>
        <v>3000000</v>
      </c>
      <c r="AE47" s="959">
        <f t="shared" si="21"/>
        <v>17200000</v>
      </c>
      <c r="AF47" s="1097">
        <f t="shared" si="22"/>
        <v>3000</v>
      </c>
      <c r="AG47" s="1097">
        <f t="shared" si="22"/>
        <v>17200</v>
      </c>
      <c r="AH47" s="1097">
        <f t="shared" si="23"/>
        <v>-3000</v>
      </c>
      <c r="AI47" s="1097">
        <f t="shared" si="23"/>
        <v>-17200</v>
      </c>
      <c r="AJ47" s="959"/>
      <c r="AL47" s="1099">
        <f t="shared" si="4"/>
        <v>-3000</v>
      </c>
      <c r="AM47" s="1099">
        <f t="shared" si="4"/>
        <v>-17200</v>
      </c>
    </row>
    <row r="48" spans="1:39" ht="15" customHeight="1">
      <c r="A48" s="262">
        <v>602.20090000000005</v>
      </c>
      <c r="B48" s="1063" t="s">
        <v>331</v>
      </c>
      <c r="C48" s="961"/>
      <c r="D48" s="961"/>
      <c r="E48" s="1083"/>
      <c r="F48" s="1083"/>
      <c r="G48" s="961"/>
      <c r="H48" s="961"/>
      <c r="I48" s="961"/>
      <c r="J48" s="961"/>
      <c r="K48" s="961"/>
      <c r="M48">
        <f t="shared" si="8"/>
        <v>6022009.0000000009</v>
      </c>
      <c r="N48" s="1122" t="str">
        <f t="shared" si="9"/>
        <v>Sherbime te  pastrimit dhe gjelberimit</v>
      </c>
      <c r="O48" s="959">
        <f t="shared" si="10"/>
        <v>0</v>
      </c>
      <c r="Q48">
        <f t="shared" si="1"/>
        <v>0</v>
      </c>
      <c r="R48" s="959">
        <f t="shared" si="11"/>
        <v>0</v>
      </c>
      <c r="V48" s="959">
        <f t="shared" si="5"/>
        <v>0</v>
      </c>
      <c r="W48" s="959">
        <f t="shared" si="2"/>
        <v>0</v>
      </c>
      <c r="X48" s="959">
        <v>0</v>
      </c>
      <c r="Y48" s="959">
        <v>378720</v>
      </c>
      <c r="AC48" s="959">
        <v>101280</v>
      </c>
      <c r="AD48" s="959">
        <f t="shared" si="21"/>
        <v>0</v>
      </c>
      <c r="AE48" s="959">
        <f t="shared" si="21"/>
        <v>480000</v>
      </c>
      <c r="AF48" s="1097">
        <f t="shared" si="22"/>
        <v>0</v>
      </c>
      <c r="AG48" s="1097">
        <f t="shared" si="22"/>
        <v>480</v>
      </c>
      <c r="AH48" s="1097">
        <f t="shared" si="23"/>
        <v>0</v>
      </c>
      <c r="AI48" s="1097">
        <f t="shared" si="23"/>
        <v>-480</v>
      </c>
      <c r="AJ48" s="959"/>
      <c r="AL48" s="1099">
        <f t="shared" si="4"/>
        <v>0</v>
      </c>
      <c r="AM48" s="1099">
        <f t="shared" si="4"/>
        <v>-480</v>
      </c>
    </row>
    <row r="49" spans="1:39" ht="15" customHeight="1">
      <c r="A49" s="262">
        <v>602.20100000000002</v>
      </c>
      <c r="B49" s="1063" t="s">
        <v>274</v>
      </c>
      <c r="C49" s="961"/>
      <c r="D49" s="961"/>
      <c r="E49" s="1083"/>
      <c r="F49" s="1083"/>
      <c r="G49" s="961"/>
      <c r="H49" s="961"/>
      <c r="I49" s="961"/>
      <c r="J49" s="961"/>
      <c r="K49" s="961"/>
      <c r="M49">
        <f t="shared" si="8"/>
        <v>6022010</v>
      </c>
      <c r="N49" s="1122" t="str">
        <f t="shared" si="9"/>
        <v>Sherbime te printimit dhe publikimit</v>
      </c>
      <c r="O49" s="959">
        <f t="shared" si="10"/>
        <v>0</v>
      </c>
      <c r="Q49">
        <f t="shared" si="1"/>
        <v>0</v>
      </c>
      <c r="R49" s="959">
        <f t="shared" si="11"/>
        <v>0</v>
      </c>
      <c r="V49" s="959">
        <f t="shared" si="5"/>
        <v>0</v>
      </c>
      <c r="W49" s="959">
        <f t="shared" si="2"/>
        <v>0</v>
      </c>
      <c r="X49" s="959">
        <v>0</v>
      </c>
      <c r="Y49" s="959">
        <v>927338</v>
      </c>
      <c r="AC49" s="959">
        <v>72662</v>
      </c>
      <c r="AD49" s="959">
        <f t="shared" si="21"/>
        <v>0</v>
      </c>
      <c r="AE49" s="959">
        <f t="shared" si="21"/>
        <v>1000000</v>
      </c>
      <c r="AF49" s="1097">
        <f t="shared" si="22"/>
        <v>0</v>
      </c>
      <c r="AG49" s="1097">
        <f t="shared" si="22"/>
        <v>1000</v>
      </c>
      <c r="AH49" s="1097">
        <f t="shared" si="23"/>
        <v>0</v>
      </c>
      <c r="AI49" s="1097">
        <f t="shared" si="23"/>
        <v>-1000</v>
      </c>
      <c r="AJ49" s="959"/>
      <c r="AL49" s="1099">
        <f t="shared" ref="AL49:AM80" si="24">E49-AF49</f>
        <v>0</v>
      </c>
      <c r="AM49" s="1099">
        <f t="shared" si="24"/>
        <v>-1000</v>
      </c>
    </row>
    <row r="50" spans="1:39" ht="15" customHeight="1">
      <c r="A50" s="262">
        <v>602.2011</v>
      </c>
      <c r="B50" s="1063" t="s">
        <v>275</v>
      </c>
      <c r="C50" s="961"/>
      <c r="D50" s="961"/>
      <c r="E50" s="1083"/>
      <c r="F50" s="1083"/>
      <c r="G50" s="961"/>
      <c r="H50" s="961"/>
      <c r="I50" s="961"/>
      <c r="J50" s="961"/>
      <c r="K50" s="961"/>
      <c r="M50">
        <f t="shared" si="8"/>
        <v>6022011</v>
      </c>
      <c r="N50" s="1122" t="str">
        <f t="shared" si="9"/>
        <v>Kosto e trajnimit dhe seminareve</v>
      </c>
      <c r="O50" s="959">
        <f t="shared" si="10"/>
        <v>0</v>
      </c>
      <c r="Q50">
        <f t="shared" si="1"/>
        <v>0</v>
      </c>
      <c r="R50" s="959">
        <f t="shared" si="11"/>
        <v>0</v>
      </c>
      <c r="V50" s="959">
        <f t="shared" si="5"/>
        <v>0</v>
      </c>
      <c r="W50" s="959">
        <f t="shared" si="2"/>
        <v>0</v>
      </c>
      <c r="AD50" s="959">
        <f t="shared" si="21"/>
        <v>0</v>
      </c>
      <c r="AE50" s="959">
        <f t="shared" si="21"/>
        <v>0</v>
      </c>
      <c r="AF50" s="1097">
        <f t="shared" si="22"/>
        <v>0</v>
      </c>
      <c r="AG50" s="1097">
        <f t="shared" si="22"/>
        <v>0</v>
      </c>
      <c r="AH50" s="1097">
        <f t="shared" si="23"/>
        <v>0</v>
      </c>
      <c r="AI50" s="1097">
        <f t="shared" si="23"/>
        <v>0</v>
      </c>
      <c r="AJ50" s="959"/>
      <c r="AL50" s="1099">
        <f t="shared" si="24"/>
        <v>0</v>
      </c>
      <c r="AM50" s="1099">
        <f t="shared" si="24"/>
        <v>0</v>
      </c>
    </row>
    <row r="51" spans="1:39" ht="15" customHeight="1">
      <c r="A51" s="262">
        <v>602.20989999999995</v>
      </c>
      <c r="B51" s="1063" t="s">
        <v>276</v>
      </c>
      <c r="C51" s="961"/>
      <c r="D51" s="961"/>
      <c r="E51" s="1083"/>
      <c r="F51" s="1083"/>
      <c r="G51" s="961"/>
      <c r="H51" s="961"/>
      <c r="I51" s="961"/>
      <c r="J51" s="961"/>
      <c r="K51" s="961"/>
      <c r="M51">
        <f t="shared" si="8"/>
        <v>6022098.9999999991</v>
      </c>
      <c r="N51" s="1122" t="str">
        <f t="shared" si="9"/>
        <v>Sherbime te tjera</v>
      </c>
      <c r="O51" s="959">
        <f t="shared" si="10"/>
        <v>0</v>
      </c>
      <c r="Q51">
        <f t="shared" si="1"/>
        <v>0</v>
      </c>
      <c r="R51" s="959">
        <f t="shared" si="11"/>
        <v>0</v>
      </c>
      <c r="V51" s="959">
        <f t="shared" si="5"/>
        <v>0</v>
      </c>
      <c r="W51" s="959">
        <f t="shared" si="2"/>
        <v>0</v>
      </c>
      <c r="X51" s="959">
        <v>0</v>
      </c>
      <c r="Y51" s="959">
        <v>1376061</v>
      </c>
      <c r="Z51" s="959">
        <v>0</v>
      </c>
      <c r="AA51" s="959">
        <f>175000*2+608118</f>
        <v>958118</v>
      </c>
      <c r="AC51" s="1096">
        <v>801821</v>
      </c>
      <c r="AD51" s="959">
        <f t="shared" si="21"/>
        <v>0</v>
      </c>
      <c r="AE51" s="959">
        <f t="shared" si="21"/>
        <v>3136000</v>
      </c>
      <c r="AF51" s="1097">
        <f t="shared" si="22"/>
        <v>0</v>
      </c>
      <c r="AG51" s="1097">
        <f t="shared" si="22"/>
        <v>3136</v>
      </c>
      <c r="AH51" s="1097">
        <f t="shared" si="23"/>
        <v>0</v>
      </c>
      <c r="AI51" s="1097">
        <f t="shared" si="23"/>
        <v>-3136</v>
      </c>
      <c r="AJ51" s="959"/>
      <c r="AL51" s="1099">
        <f t="shared" si="24"/>
        <v>0</v>
      </c>
      <c r="AM51" s="1099">
        <f t="shared" si="24"/>
        <v>-3136</v>
      </c>
    </row>
    <row r="52" spans="1:39" s="226" customFormat="1" ht="15" customHeight="1">
      <c r="A52" s="1163">
        <v>602.29999999999995</v>
      </c>
      <c r="B52" s="1164" t="s">
        <v>66</v>
      </c>
      <c r="C52" s="1161">
        <f t="shared" ref="C52:K52" si="25">SUM(C53:C56)</f>
        <v>0</v>
      </c>
      <c r="D52" s="1161">
        <f t="shared" si="25"/>
        <v>0</v>
      </c>
      <c r="E52" s="1161">
        <f t="shared" si="25"/>
        <v>0</v>
      </c>
      <c r="F52" s="1161">
        <f t="shared" si="25"/>
        <v>0</v>
      </c>
      <c r="G52" s="1161">
        <f t="shared" si="25"/>
        <v>0</v>
      </c>
      <c r="H52" s="1161">
        <f t="shared" si="25"/>
        <v>0</v>
      </c>
      <c r="I52" s="1161">
        <f t="shared" si="25"/>
        <v>0</v>
      </c>
      <c r="J52" s="1161">
        <f t="shared" si="25"/>
        <v>0</v>
      </c>
      <c r="K52" s="1161">
        <f t="shared" si="25"/>
        <v>0</v>
      </c>
      <c r="L52"/>
      <c r="M52">
        <f t="shared" si="8"/>
        <v>6023000</v>
      </c>
      <c r="N52" s="1122" t="str">
        <f t="shared" si="9"/>
        <v>Shpenzime transporti</v>
      </c>
      <c r="O52" s="959">
        <f t="shared" si="10"/>
        <v>0</v>
      </c>
      <c r="P52" s="226">
        <v>1</v>
      </c>
      <c r="Q52">
        <f t="shared" si="1"/>
        <v>0</v>
      </c>
      <c r="R52" s="959">
        <f t="shared" si="11"/>
        <v>0</v>
      </c>
      <c r="U52" s="226">
        <v>1</v>
      </c>
      <c r="V52" s="959">
        <f t="shared" si="5"/>
        <v>0</v>
      </c>
      <c r="W52" s="959">
        <f t="shared" si="2"/>
        <v>0</v>
      </c>
      <c r="X52" s="1094">
        <f t="shared" ref="X52:AG52" si="26">SUM(X53:X56)</f>
        <v>0</v>
      </c>
      <c r="Y52" s="1094">
        <f t="shared" si="26"/>
        <v>3433870</v>
      </c>
      <c r="Z52" s="1094">
        <f t="shared" si="26"/>
        <v>0</v>
      </c>
      <c r="AA52" s="1094">
        <f t="shared" si="26"/>
        <v>1652800</v>
      </c>
      <c r="AB52" s="1094">
        <f t="shared" si="26"/>
        <v>0</v>
      </c>
      <c r="AC52" s="1094">
        <f t="shared" si="26"/>
        <v>1283330</v>
      </c>
      <c r="AD52" s="1094">
        <f t="shared" si="26"/>
        <v>0</v>
      </c>
      <c r="AE52" s="1094">
        <f t="shared" si="26"/>
        <v>6370000</v>
      </c>
      <c r="AF52" s="1099">
        <f t="shared" si="26"/>
        <v>0</v>
      </c>
      <c r="AG52" s="1099">
        <f t="shared" si="26"/>
        <v>6370</v>
      </c>
      <c r="AH52" s="1097">
        <f t="shared" si="23"/>
        <v>0</v>
      </c>
      <c r="AI52" s="1097">
        <f t="shared" si="23"/>
        <v>-6370</v>
      </c>
      <c r="AJ52" s="1094">
        <f t="shared" ref="AJ52" si="27">SUM(AJ53:AJ56)</f>
        <v>0</v>
      </c>
      <c r="AK52"/>
      <c r="AL52" s="1099">
        <f t="shared" si="24"/>
        <v>0</v>
      </c>
      <c r="AM52" s="1099">
        <f t="shared" si="24"/>
        <v>-6370</v>
      </c>
    </row>
    <row r="53" spans="1:39" ht="15" customHeight="1">
      <c r="A53" s="264">
        <v>602.30999999999995</v>
      </c>
      <c r="B53" s="1063" t="s">
        <v>277</v>
      </c>
      <c r="C53" s="961"/>
      <c r="D53" s="961"/>
      <c r="E53" s="1083"/>
      <c r="F53" s="1083"/>
      <c r="G53" s="961"/>
      <c r="H53" s="961"/>
      <c r="I53" s="961"/>
      <c r="J53" s="961"/>
      <c r="K53" s="961"/>
      <c r="M53">
        <f t="shared" si="8"/>
        <v>6023099.9999999991</v>
      </c>
      <c r="N53" s="1122" t="str">
        <f t="shared" si="9"/>
        <v>Karburant dhe vaj</v>
      </c>
      <c r="O53" s="959">
        <f t="shared" si="10"/>
        <v>0</v>
      </c>
      <c r="Q53">
        <f t="shared" si="1"/>
        <v>0</v>
      </c>
      <c r="R53" s="959">
        <f t="shared" si="11"/>
        <v>0</v>
      </c>
      <c r="V53" s="959">
        <f t="shared" si="5"/>
        <v>0</v>
      </c>
      <c r="W53" s="959">
        <f t="shared" si="2"/>
        <v>0</v>
      </c>
      <c r="X53" s="959">
        <v>0</v>
      </c>
      <c r="Y53" s="959">
        <v>3291021</v>
      </c>
      <c r="AA53" s="959">
        <v>1652800</v>
      </c>
      <c r="AC53" s="959">
        <v>496179</v>
      </c>
      <c r="AD53" s="959">
        <f t="shared" ref="AD53:AE56" si="28">SUM(X53,Z53,AB53)</f>
        <v>0</v>
      </c>
      <c r="AE53" s="959">
        <f t="shared" si="28"/>
        <v>5440000</v>
      </c>
      <c r="AF53" s="1097">
        <f t="shared" ref="AF53:AG56" si="29">AD53/1000</f>
        <v>0</v>
      </c>
      <c r="AG53" s="1097">
        <f t="shared" si="29"/>
        <v>5440</v>
      </c>
      <c r="AH53" s="1097">
        <f t="shared" si="23"/>
        <v>0</v>
      </c>
      <c r="AI53" s="1097">
        <f t="shared" si="23"/>
        <v>-5440</v>
      </c>
      <c r="AJ53" s="959"/>
      <c r="AL53" s="1099">
        <f t="shared" si="24"/>
        <v>0</v>
      </c>
      <c r="AM53" s="1099">
        <f t="shared" si="24"/>
        <v>-5440</v>
      </c>
    </row>
    <row r="54" spans="1:39" ht="15" customHeight="1">
      <c r="A54" s="264">
        <v>602.32000000000005</v>
      </c>
      <c r="B54" s="1063" t="s">
        <v>245</v>
      </c>
      <c r="C54" s="961"/>
      <c r="D54" s="961"/>
      <c r="E54" s="1083"/>
      <c r="F54" s="1083"/>
      <c r="G54" s="961"/>
      <c r="H54" s="961"/>
      <c r="I54" s="961"/>
      <c r="J54" s="961"/>
      <c r="K54" s="961"/>
      <c r="M54">
        <f t="shared" si="8"/>
        <v>6023200.0000000009</v>
      </c>
      <c r="N54" s="1122" t="str">
        <f t="shared" si="9"/>
        <v>Pjese kembimi, goma dhe bateri</v>
      </c>
      <c r="O54" s="959">
        <f t="shared" si="10"/>
        <v>0</v>
      </c>
      <c r="Q54">
        <f t="shared" si="1"/>
        <v>0</v>
      </c>
      <c r="R54" s="959">
        <f t="shared" si="11"/>
        <v>0</v>
      </c>
      <c r="V54" s="959">
        <f t="shared" si="5"/>
        <v>0</v>
      </c>
      <c r="W54" s="959">
        <f t="shared" si="2"/>
        <v>0</v>
      </c>
      <c r="AC54" s="959">
        <v>480000</v>
      </c>
      <c r="AD54" s="959">
        <f t="shared" si="28"/>
        <v>0</v>
      </c>
      <c r="AE54" s="959">
        <f t="shared" si="28"/>
        <v>480000</v>
      </c>
      <c r="AF54" s="1097">
        <f t="shared" si="29"/>
        <v>0</v>
      </c>
      <c r="AG54" s="1097">
        <f t="shared" si="29"/>
        <v>480</v>
      </c>
      <c r="AH54" s="1097">
        <f t="shared" si="23"/>
        <v>0</v>
      </c>
      <c r="AI54" s="1097">
        <f t="shared" si="23"/>
        <v>-480</v>
      </c>
      <c r="AJ54" s="959"/>
      <c r="AL54" s="1099">
        <f t="shared" si="24"/>
        <v>0</v>
      </c>
      <c r="AM54" s="1099">
        <f t="shared" si="24"/>
        <v>-480</v>
      </c>
    </row>
    <row r="55" spans="1:39" ht="15" customHeight="1">
      <c r="A55" s="264">
        <v>602.33000000000004</v>
      </c>
      <c r="B55" s="1063" t="s">
        <v>321</v>
      </c>
      <c r="C55" s="961"/>
      <c r="D55" s="961"/>
      <c r="E55" s="1083"/>
      <c r="F55" s="1083"/>
      <c r="G55" s="961"/>
      <c r="H55" s="961"/>
      <c r="I55" s="961"/>
      <c r="J55" s="961"/>
      <c r="K55" s="961"/>
      <c r="M55">
        <f t="shared" si="8"/>
        <v>6023300</v>
      </c>
      <c r="N55" s="1122" t="str">
        <f t="shared" si="9"/>
        <v>Shpenzimet e siguracionit te mjeteve te transportit</v>
      </c>
      <c r="O55" s="959">
        <f t="shared" si="10"/>
        <v>0</v>
      </c>
      <c r="Q55">
        <f t="shared" si="1"/>
        <v>0</v>
      </c>
      <c r="R55" s="959">
        <f t="shared" si="11"/>
        <v>0</v>
      </c>
      <c r="V55" s="959">
        <f t="shared" si="5"/>
        <v>0</v>
      </c>
      <c r="W55" s="959">
        <f t="shared" si="2"/>
        <v>0</v>
      </c>
      <c r="X55" s="959">
        <v>0</v>
      </c>
      <c r="Y55" s="959">
        <v>80615</v>
      </c>
      <c r="AC55" s="959">
        <v>169385</v>
      </c>
      <c r="AD55" s="959">
        <f t="shared" si="28"/>
        <v>0</v>
      </c>
      <c r="AE55" s="959">
        <f t="shared" si="28"/>
        <v>250000</v>
      </c>
      <c r="AF55" s="1097">
        <f t="shared" si="29"/>
        <v>0</v>
      </c>
      <c r="AG55" s="1097">
        <f t="shared" si="29"/>
        <v>250</v>
      </c>
      <c r="AH55" s="1097">
        <f t="shared" si="23"/>
        <v>0</v>
      </c>
      <c r="AI55" s="1097">
        <f t="shared" si="23"/>
        <v>-250</v>
      </c>
      <c r="AJ55" s="959"/>
      <c r="AL55" s="1099">
        <f t="shared" si="24"/>
        <v>0</v>
      </c>
      <c r="AM55" s="1099">
        <f t="shared" si="24"/>
        <v>-250</v>
      </c>
    </row>
    <row r="56" spans="1:39" ht="15" customHeight="1">
      <c r="A56" s="264">
        <v>602.39</v>
      </c>
      <c r="B56" s="1063" t="s">
        <v>322</v>
      </c>
      <c r="C56" s="961"/>
      <c r="D56" s="961"/>
      <c r="E56" s="1083"/>
      <c r="F56" s="1083"/>
      <c r="G56" s="961"/>
      <c r="H56" s="961"/>
      <c r="I56" s="961"/>
      <c r="J56" s="961"/>
      <c r="K56" s="961"/>
      <c r="M56">
        <f t="shared" si="8"/>
        <v>6023900</v>
      </c>
      <c r="N56" s="1122" t="str">
        <f t="shared" si="9"/>
        <v>Shpenzime te tjera transporti</v>
      </c>
      <c r="O56" s="959">
        <f t="shared" si="10"/>
        <v>0</v>
      </c>
      <c r="Q56">
        <f t="shared" si="1"/>
        <v>0</v>
      </c>
      <c r="R56" s="959">
        <f t="shared" si="11"/>
        <v>0</v>
      </c>
      <c r="V56" s="959">
        <f t="shared" si="5"/>
        <v>0</v>
      </c>
      <c r="W56" s="959">
        <f t="shared" si="2"/>
        <v>0</v>
      </c>
      <c r="X56" s="959">
        <v>0</v>
      </c>
      <c r="Y56" s="959">
        <v>62234</v>
      </c>
      <c r="AC56" s="959">
        <v>137766</v>
      </c>
      <c r="AD56" s="959">
        <f t="shared" si="28"/>
        <v>0</v>
      </c>
      <c r="AE56" s="959">
        <f t="shared" si="28"/>
        <v>200000</v>
      </c>
      <c r="AF56" s="1097">
        <f t="shared" si="29"/>
        <v>0</v>
      </c>
      <c r="AG56" s="1097">
        <f t="shared" si="29"/>
        <v>200</v>
      </c>
      <c r="AH56" s="1097">
        <f t="shared" si="23"/>
        <v>0</v>
      </c>
      <c r="AI56" s="1097">
        <f t="shared" si="23"/>
        <v>-200</v>
      </c>
      <c r="AJ56" s="959"/>
      <c r="AL56" s="1099">
        <f t="shared" si="24"/>
        <v>0</v>
      </c>
      <c r="AM56" s="1099">
        <f t="shared" si="24"/>
        <v>-200</v>
      </c>
    </row>
    <row r="57" spans="1:39" s="226" customFormat="1" ht="15" customHeight="1">
      <c r="A57" s="1163">
        <v>602.4</v>
      </c>
      <c r="B57" s="1164" t="s">
        <v>67</v>
      </c>
      <c r="C57" s="1161">
        <f t="shared" ref="C57:K57" si="30">SUM(C58:C59)</f>
        <v>0</v>
      </c>
      <c r="D57" s="1161">
        <f t="shared" si="30"/>
        <v>0</v>
      </c>
      <c r="E57" s="1161">
        <f t="shared" si="30"/>
        <v>0</v>
      </c>
      <c r="F57" s="1161">
        <f t="shared" si="30"/>
        <v>0</v>
      </c>
      <c r="G57" s="1161">
        <f t="shared" si="30"/>
        <v>0</v>
      </c>
      <c r="H57" s="1161">
        <f t="shared" si="30"/>
        <v>0</v>
      </c>
      <c r="I57" s="1161">
        <f t="shared" si="30"/>
        <v>0</v>
      </c>
      <c r="J57" s="1161">
        <f t="shared" si="30"/>
        <v>0</v>
      </c>
      <c r="K57" s="1161">
        <f t="shared" si="30"/>
        <v>0</v>
      </c>
      <c r="L57"/>
      <c r="M57">
        <f t="shared" si="8"/>
        <v>6024000</v>
      </c>
      <c r="N57" s="1122" t="str">
        <f t="shared" si="9"/>
        <v>Shpenzime udhetimi</v>
      </c>
      <c r="O57" s="959">
        <f t="shared" si="10"/>
        <v>0</v>
      </c>
      <c r="P57" s="226">
        <v>1</v>
      </c>
      <c r="Q57">
        <f t="shared" si="1"/>
        <v>0</v>
      </c>
      <c r="R57" s="959">
        <f t="shared" si="11"/>
        <v>0</v>
      </c>
      <c r="U57" s="226">
        <v>1</v>
      </c>
      <c r="V57" s="959">
        <f>SUM(H57:I57)</f>
        <v>0</v>
      </c>
      <c r="W57" s="959">
        <f t="shared" si="2"/>
        <v>0</v>
      </c>
      <c r="X57" s="1094">
        <f t="shared" ref="X57:AJ57" si="31">SUM(X58:X59)</f>
        <v>0</v>
      </c>
      <c r="Y57" s="1094">
        <f t="shared" si="31"/>
        <v>8485320</v>
      </c>
      <c r="Z57" s="1094">
        <f t="shared" si="31"/>
        <v>0</v>
      </c>
      <c r="AA57" s="1094">
        <f t="shared" si="31"/>
        <v>0</v>
      </c>
      <c r="AB57" s="1094">
        <f t="shared" si="31"/>
        <v>3425800</v>
      </c>
      <c r="AC57" s="1094">
        <f t="shared" si="31"/>
        <v>1414680</v>
      </c>
      <c r="AD57" s="1094">
        <f t="shared" si="31"/>
        <v>3425800</v>
      </c>
      <c r="AE57" s="1094">
        <f t="shared" si="31"/>
        <v>9900000</v>
      </c>
      <c r="AF57" s="1099">
        <f t="shared" si="31"/>
        <v>3425.8</v>
      </c>
      <c r="AG57" s="1099">
        <f t="shared" si="31"/>
        <v>9900</v>
      </c>
      <c r="AH57" s="1099">
        <f t="shared" si="31"/>
        <v>-3425.8</v>
      </c>
      <c r="AI57" s="1099">
        <f t="shared" si="31"/>
        <v>-9900</v>
      </c>
      <c r="AJ57" s="1094">
        <f t="shared" si="31"/>
        <v>0</v>
      </c>
      <c r="AK57"/>
      <c r="AL57" s="1099">
        <f t="shared" si="24"/>
        <v>-3425.8</v>
      </c>
      <c r="AM57" s="1099">
        <f t="shared" si="24"/>
        <v>-9900</v>
      </c>
    </row>
    <row r="58" spans="1:39" ht="15" customHeight="1">
      <c r="A58" s="264">
        <v>602.4</v>
      </c>
      <c r="B58" s="1063" t="s">
        <v>323</v>
      </c>
      <c r="C58" s="961"/>
      <c r="D58" s="961"/>
      <c r="E58" s="1083"/>
      <c r="F58" s="1083"/>
      <c r="G58" s="961"/>
      <c r="H58" s="961"/>
      <c r="I58" s="961"/>
      <c r="J58" s="961"/>
      <c r="K58" s="961"/>
      <c r="M58">
        <f t="shared" si="8"/>
        <v>6024000</v>
      </c>
      <c r="N58" s="1122" t="str">
        <f t="shared" si="9"/>
        <v>Udhetim i brendshem</v>
      </c>
      <c r="O58" s="959">
        <f t="shared" si="10"/>
        <v>0</v>
      </c>
      <c r="Q58">
        <f t="shared" si="1"/>
        <v>0</v>
      </c>
      <c r="R58" s="959">
        <f t="shared" si="11"/>
        <v>0</v>
      </c>
      <c r="V58" s="959">
        <f t="shared" si="5"/>
        <v>0</v>
      </c>
      <c r="W58" s="959">
        <f t="shared" si="2"/>
        <v>0</v>
      </c>
      <c r="X58" s="959">
        <v>0</v>
      </c>
      <c r="Y58" s="959">
        <v>6006240</v>
      </c>
      <c r="AB58" s="959">
        <f>1900000-74200</f>
        <v>1825800</v>
      </c>
      <c r="AC58" s="959">
        <v>993760</v>
      </c>
      <c r="AD58" s="959">
        <f>SUM(X58,Z58,AB58)</f>
        <v>1825800</v>
      </c>
      <c r="AE58" s="959">
        <f>SUM(Y58,AA58,AC58)</f>
        <v>7000000</v>
      </c>
      <c r="AF58" s="1097">
        <f t="shared" ref="AF58:AG59" si="32">AD58/1000</f>
        <v>1825.8</v>
      </c>
      <c r="AG58" s="1097">
        <f t="shared" si="32"/>
        <v>7000</v>
      </c>
      <c r="AH58" s="1097">
        <f>E58-AF58</f>
        <v>-1825.8</v>
      </c>
      <c r="AI58" s="1097">
        <f>F58-AG58</f>
        <v>-7000</v>
      </c>
      <c r="AJ58" s="959"/>
      <c r="AL58" s="1099">
        <f t="shared" si="24"/>
        <v>-1825.8</v>
      </c>
      <c r="AM58" s="1099">
        <f t="shared" si="24"/>
        <v>-7000</v>
      </c>
    </row>
    <row r="59" spans="1:39" ht="15" customHeight="1">
      <c r="A59" s="265">
        <v>602.41</v>
      </c>
      <c r="B59" s="1063" t="s">
        <v>246</v>
      </c>
      <c r="C59" s="961"/>
      <c r="D59" s="961"/>
      <c r="E59" s="1083"/>
      <c r="F59" s="1083"/>
      <c r="G59" s="961"/>
      <c r="H59" s="961"/>
      <c r="I59" s="961"/>
      <c r="J59" s="961"/>
      <c r="K59" s="961"/>
      <c r="M59">
        <f t="shared" si="8"/>
        <v>6024100</v>
      </c>
      <c r="N59" s="1122" t="str">
        <f t="shared" si="9"/>
        <v>Udhetim jashte shtetit</v>
      </c>
      <c r="O59" s="959">
        <f t="shared" si="10"/>
        <v>0</v>
      </c>
      <c r="Q59">
        <f t="shared" si="1"/>
        <v>0</v>
      </c>
      <c r="R59" s="959">
        <f t="shared" si="11"/>
        <v>0</v>
      </c>
      <c r="V59" s="959">
        <f t="shared" si="5"/>
        <v>0</v>
      </c>
      <c r="W59" s="959">
        <f t="shared" si="2"/>
        <v>0</v>
      </c>
      <c r="X59" s="959">
        <v>0</v>
      </c>
      <c r="Y59" s="959">
        <v>2479080</v>
      </c>
      <c r="AB59" s="959">
        <v>1600000</v>
      </c>
      <c r="AC59" s="959">
        <v>420920</v>
      </c>
      <c r="AD59" s="959">
        <f>SUM(X59,Z59,AB59)</f>
        <v>1600000</v>
      </c>
      <c r="AE59" s="959">
        <f>SUM(Y59,AA59,AC59)</f>
        <v>2900000</v>
      </c>
      <c r="AF59" s="1097">
        <f t="shared" si="32"/>
        <v>1600</v>
      </c>
      <c r="AG59" s="1097">
        <f t="shared" si="32"/>
        <v>2900</v>
      </c>
      <c r="AH59" s="1097">
        <f>E59-AF59</f>
        <v>-1600</v>
      </c>
      <c r="AI59" s="1097">
        <f>F59-AG59</f>
        <v>-2900</v>
      </c>
      <c r="AJ59" s="959"/>
      <c r="AL59" s="1099">
        <f t="shared" si="24"/>
        <v>-1600</v>
      </c>
      <c r="AM59" s="1099">
        <f t="shared" si="24"/>
        <v>-2900</v>
      </c>
    </row>
    <row r="60" spans="1:39" s="226" customFormat="1" ht="15" customHeight="1">
      <c r="A60" s="1163">
        <v>602.5</v>
      </c>
      <c r="B60" s="1164" t="s">
        <v>377</v>
      </c>
      <c r="C60" s="1161">
        <f t="shared" ref="C60:K60" si="33">SUM(C61:C68)</f>
        <v>170</v>
      </c>
      <c r="D60" s="1161">
        <f t="shared" si="33"/>
        <v>0</v>
      </c>
      <c r="E60" s="1161">
        <f t="shared" si="33"/>
        <v>1160</v>
      </c>
      <c r="F60" s="1161">
        <f t="shared" si="33"/>
        <v>0</v>
      </c>
      <c r="G60" s="1161">
        <f t="shared" si="33"/>
        <v>100</v>
      </c>
      <c r="H60" s="1161">
        <f t="shared" si="33"/>
        <v>100</v>
      </c>
      <c r="I60" s="1161">
        <f t="shared" si="33"/>
        <v>0</v>
      </c>
      <c r="J60" s="1161">
        <f t="shared" si="33"/>
        <v>120</v>
      </c>
      <c r="K60" s="1161">
        <f t="shared" si="33"/>
        <v>120</v>
      </c>
      <c r="L60"/>
      <c r="M60">
        <f t="shared" si="8"/>
        <v>6025000</v>
      </c>
      <c r="N60" s="1122" t="str">
        <f t="shared" si="9"/>
        <v>Shpenzime per mirembajtje te zakonshme</v>
      </c>
      <c r="O60" s="959">
        <f t="shared" si="10"/>
        <v>100000</v>
      </c>
      <c r="P60" s="226">
        <v>1</v>
      </c>
      <c r="Q60">
        <f t="shared" si="1"/>
        <v>1</v>
      </c>
      <c r="R60" s="959">
        <f t="shared" si="11"/>
        <v>100</v>
      </c>
      <c r="U60" s="226">
        <v>1</v>
      </c>
      <c r="V60" s="959">
        <f t="shared" si="5"/>
        <v>100</v>
      </c>
      <c r="W60" s="959">
        <f t="shared" si="2"/>
        <v>1160</v>
      </c>
      <c r="X60" s="1094">
        <f t="shared" ref="X60:AJ60" si="34">SUM(X61:X68)</f>
        <v>0</v>
      </c>
      <c r="Y60" s="1094">
        <f t="shared" si="34"/>
        <v>2546764</v>
      </c>
      <c r="Z60" s="1094">
        <f t="shared" si="34"/>
        <v>0</v>
      </c>
      <c r="AA60" s="1094">
        <f t="shared" si="34"/>
        <v>3805849</v>
      </c>
      <c r="AB60" s="1094">
        <f t="shared" si="34"/>
        <v>0</v>
      </c>
      <c r="AC60" s="1094">
        <f t="shared" si="34"/>
        <v>1187387</v>
      </c>
      <c r="AD60" s="1094">
        <f t="shared" si="34"/>
        <v>0</v>
      </c>
      <c r="AE60" s="1094">
        <f t="shared" si="34"/>
        <v>7540000</v>
      </c>
      <c r="AF60" s="1099">
        <f t="shared" si="34"/>
        <v>0</v>
      </c>
      <c r="AG60" s="1099">
        <f t="shared" si="34"/>
        <v>7540</v>
      </c>
      <c r="AH60" s="1099">
        <f t="shared" si="34"/>
        <v>1160</v>
      </c>
      <c r="AI60" s="1099">
        <f t="shared" si="34"/>
        <v>-7540</v>
      </c>
      <c r="AJ60" s="1094">
        <f t="shared" si="34"/>
        <v>0</v>
      </c>
      <c r="AK60"/>
      <c r="AL60" s="1099">
        <f t="shared" si="24"/>
        <v>1160</v>
      </c>
      <c r="AM60" s="1099">
        <f t="shared" si="24"/>
        <v>-7540</v>
      </c>
    </row>
    <row r="61" spans="1:39" ht="15" customHeight="1">
      <c r="A61" s="266">
        <v>602.5</v>
      </c>
      <c r="B61" s="1063" t="s">
        <v>324</v>
      </c>
      <c r="C61" s="961"/>
      <c r="D61" s="961"/>
      <c r="E61" s="1083"/>
      <c r="F61" s="1083"/>
      <c r="G61" s="961"/>
      <c r="H61" s="961"/>
      <c r="I61" s="961"/>
      <c r="J61" s="961"/>
      <c r="K61" s="961"/>
      <c r="M61">
        <f t="shared" si="8"/>
        <v>6025000</v>
      </c>
      <c r="N61" s="1122" t="str">
        <f t="shared" si="9"/>
        <v>Shpenzime per mirembajtjen e tokave dhe aktiveve natyrore</v>
      </c>
      <c r="O61" s="959">
        <f t="shared" si="10"/>
        <v>0</v>
      </c>
      <c r="Q61">
        <f t="shared" si="1"/>
        <v>0</v>
      </c>
      <c r="R61" s="959">
        <f t="shared" si="11"/>
        <v>0</v>
      </c>
      <c r="V61" s="959">
        <f t="shared" si="5"/>
        <v>0</v>
      </c>
      <c r="W61" s="959">
        <f t="shared" si="2"/>
        <v>0</v>
      </c>
      <c r="AD61" s="959">
        <f t="shared" ref="AD61:AE84" si="35">SUM(X61,Z61,AB61)</f>
        <v>0</v>
      </c>
      <c r="AE61" s="959">
        <f t="shared" si="35"/>
        <v>0</v>
      </c>
      <c r="AF61" s="1097">
        <f t="shared" ref="AF61:AG84" si="36">AD61/1000</f>
        <v>0</v>
      </c>
      <c r="AG61" s="1097">
        <f t="shared" si="36"/>
        <v>0</v>
      </c>
      <c r="AH61" s="1097">
        <f t="shared" ref="AH61:AI84" si="37">E61-AF61</f>
        <v>0</v>
      </c>
      <c r="AI61" s="1097">
        <f t="shared" si="37"/>
        <v>0</v>
      </c>
      <c r="AJ61" s="959"/>
      <c r="AL61" s="1099">
        <f t="shared" si="24"/>
        <v>0</v>
      </c>
      <c r="AM61" s="1099">
        <f t="shared" si="24"/>
        <v>0</v>
      </c>
    </row>
    <row r="62" spans="1:39" ht="15" customHeight="1">
      <c r="A62" s="265">
        <v>602.51</v>
      </c>
      <c r="B62" s="1063" t="s">
        <v>325</v>
      </c>
      <c r="C62" s="961"/>
      <c r="D62" s="961"/>
      <c r="E62" s="1083"/>
      <c r="F62" s="1083"/>
      <c r="G62" s="961"/>
      <c r="H62" s="961"/>
      <c r="I62" s="961"/>
      <c r="J62" s="961"/>
      <c r="K62" s="961"/>
      <c r="M62">
        <f t="shared" si="8"/>
        <v>6025100</v>
      </c>
      <c r="N62" s="1122" t="str">
        <f t="shared" si="9"/>
        <v>Shpenzime per mirembajtjen e objekteve specifike</v>
      </c>
      <c r="O62" s="959">
        <f t="shared" si="10"/>
        <v>0</v>
      </c>
      <c r="Q62">
        <f t="shared" si="1"/>
        <v>0</v>
      </c>
      <c r="R62" s="959">
        <f t="shared" si="11"/>
        <v>0</v>
      </c>
      <c r="V62" s="959">
        <f t="shared" si="5"/>
        <v>0</v>
      </c>
      <c r="W62" s="959">
        <f t="shared" si="2"/>
        <v>0</v>
      </c>
      <c r="AD62" s="959">
        <f t="shared" si="35"/>
        <v>0</v>
      </c>
      <c r="AE62" s="959">
        <f t="shared" si="35"/>
        <v>0</v>
      </c>
      <c r="AF62" s="1097">
        <f t="shared" si="36"/>
        <v>0</v>
      </c>
      <c r="AG62" s="1097">
        <f t="shared" si="36"/>
        <v>0</v>
      </c>
      <c r="AH62" s="1097">
        <f t="shared" si="37"/>
        <v>0</v>
      </c>
      <c r="AI62" s="1097">
        <f t="shared" si="37"/>
        <v>0</v>
      </c>
      <c r="AJ62" s="959"/>
      <c r="AL62" s="1099">
        <f t="shared" si="24"/>
        <v>0</v>
      </c>
      <c r="AM62" s="1099">
        <f t="shared" si="24"/>
        <v>0</v>
      </c>
    </row>
    <row r="63" spans="1:39" ht="15" customHeight="1">
      <c r="A63" s="267">
        <v>602.52</v>
      </c>
      <c r="B63" s="1063" t="s">
        <v>247</v>
      </c>
      <c r="C63" s="961">
        <v>120</v>
      </c>
      <c r="D63" s="961"/>
      <c r="E63" s="1083">
        <v>120</v>
      </c>
      <c r="F63" s="1083"/>
      <c r="G63" s="961"/>
      <c r="H63" s="961"/>
      <c r="I63" s="961"/>
      <c r="J63" s="961"/>
      <c r="K63" s="961"/>
      <c r="M63">
        <f t="shared" si="8"/>
        <v>6025200</v>
      </c>
      <c r="N63" s="1122" t="str">
        <f t="shared" si="9"/>
        <v>Shpenzime per mirembajtjen e objekteve ndertimore</v>
      </c>
      <c r="O63" s="959">
        <f t="shared" si="10"/>
        <v>0</v>
      </c>
      <c r="Q63">
        <f t="shared" si="1"/>
        <v>0</v>
      </c>
      <c r="R63" s="959">
        <f t="shared" si="11"/>
        <v>0</v>
      </c>
      <c r="V63" s="959">
        <f t="shared" si="5"/>
        <v>0</v>
      </c>
      <c r="W63" s="959">
        <f t="shared" si="2"/>
        <v>120</v>
      </c>
      <c r="Y63" s="959">
        <v>1158960</v>
      </c>
      <c r="AA63" s="959">
        <v>2627449</v>
      </c>
      <c r="AC63" s="959">
        <v>13590.999999999884</v>
      </c>
      <c r="AD63" s="959">
        <f t="shared" si="35"/>
        <v>0</v>
      </c>
      <c r="AE63" s="959">
        <f t="shared" si="35"/>
        <v>3800000</v>
      </c>
      <c r="AF63" s="1097">
        <f t="shared" si="36"/>
        <v>0</v>
      </c>
      <c r="AG63" s="1097">
        <f t="shared" si="36"/>
        <v>3800</v>
      </c>
      <c r="AH63" s="1097">
        <f t="shared" si="37"/>
        <v>120</v>
      </c>
      <c r="AI63" s="1097">
        <f t="shared" si="37"/>
        <v>-3800</v>
      </c>
      <c r="AJ63" s="959"/>
      <c r="AL63" s="1099">
        <f t="shared" si="24"/>
        <v>120</v>
      </c>
      <c r="AM63" s="1099">
        <f t="shared" si="24"/>
        <v>-3800</v>
      </c>
    </row>
    <row r="64" spans="1:39" ht="15" customHeight="1">
      <c r="A64" s="267">
        <v>602.53</v>
      </c>
      <c r="B64" s="1063" t="s">
        <v>380</v>
      </c>
      <c r="C64" s="961"/>
      <c r="D64" s="961"/>
      <c r="E64" s="1083"/>
      <c r="F64" s="1083"/>
      <c r="G64" s="961"/>
      <c r="H64" s="961"/>
      <c r="I64" s="961"/>
      <c r="J64" s="961"/>
      <c r="K64" s="961"/>
      <c r="M64">
        <f t="shared" si="8"/>
        <v>6025300</v>
      </c>
      <c r="N64" s="1122" t="str">
        <f t="shared" si="9"/>
        <v>Shpenzime per mirembajtjen e rrugeve, veprave ujore dhe rrjeteve hidraulike, elektrike, etj</v>
      </c>
      <c r="O64" s="959">
        <f t="shared" si="10"/>
        <v>0</v>
      </c>
      <c r="Q64">
        <f t="shared" si="1"/>
        <v>0</v>
      </c>
      <c r="R64" s="959">
        <f t="shared" si="11"/>
        <v>0</v>
      </c>
      <c r="V64" s="959">
        <f t="shared" si="5"/>
        <v>0</v>
      </c>
      <c r="W64" s="959">
        <f t="shared" si="2"/>
        <v>0</v>
      </c>
      <c r="X64" s="959">
        <v>0</v>
      </c>
      <c r="Y64" s="959">
        <v>119604</v>
      </c>
      <c r="AC64" s="959">
        <v>360396</v>
      </c>
      <c r="AD64" s="959">
        <f t="shared" si="35"/>
        <v>0</v>
      </c>
      <c r="AE64" s="959">
        <f t="shared" si="35"/>
        <v>480000</v>
      </c>
      <c r="AF64" s="1097">
        <f t="shared" si="36"/>
        <v>0</v>
      </c>
      <c r="AG64" s="1097">
        <f t="shared" si="36"/>
        <v>480</v>
      </c>
      <c r="AH64" s="1097">
        <f t="shared" si="37"/>
        <v>0</v>
      </c>
      <c r="AI64" s="1097">
        <f t="shared" si="37"/>
        <v>-480</v>
      </c>
      <c r="AJ64" s="959"/>
      <c r="AL64" s="1099">
        <f t="shared" si="24"/>
        <v>0</v>
      </c>
      <c r="AM64" s="1099">
        <f t="shared" si="24"/>
        <v>-480</v>
      </c>
    </row>
    <row r="65" spans="1:39" ht="15" customHeight="1">
      <c r="A65" s="265">
        <v>602.54</v>
      </c>
      <c r="B65" s="1063" t="s">
        <v>326</v>
      </c>
      <c r="C65" s="961"/>
      <c r="D65" s="961"/>
      <c r="E65" s="1083">
        <v>920</v>
      </c>
      <c r="F65" s="1083"/>
      <c r="G65" s="961"/>
      <c r="H65" s="961"/>
      <c r="I65" s="961"/>
      <c r="J65" s="961"/>
      <c r="K65" s="961"/>
      <c r="M65">
        <f t="shared" si="8"/>
        <v>6025400</v>
      </c>
      <c r="N65" s="1122" t="str">
        <f t="shared" si="9"/>
        <v>Shpenzime per mirembajtjen e aparateve, paisjeve teknike dhe  veglave te punes</v>
      </c>
      <c r="O65" s="959">
        <f t="shared" si="10"/>
        <v>0</v>
      </c>
      <c r="Q65">
        <f t="shared" si="1"/>
        <v>0</v>
      </c>
      <c r="R65" s="959">
        <f t="shared" si="11"/>
        <v>0</v>
      </c>
      <c r="V65" s="959">
        <f t="shared" si="5"/>
        <v>0</v>
      </c>
      <c r="W65" s="959">
        <f t="shared" si="2"/>
        <v>920</v>
      </c>
      <c r="X65" s="959">
        <v>0</v>
      </c>
      <c r="Y65" s="959">
        <v>833500</v>
      </c>
      <c r="AC65" s="959">
        <v>346500</v>
      </c>
      <c r="AD65" s="959">
        <f t="shared" si="35"/>
        <v>0</v>
      </c>
      <c r="AE65" s="959">
        <f t="shared" si="35"/>
        <v>1180000</v>
      </c>
      <c r="AF65" s="1097">
        <f t="shared" si="36"/>
        <v>0</v>
      </c>
      <c r="AG65" s="1097">
        <f t="shared" si="36"/>
        <v>1180</v>
      </c>
      <c r="AH65" s="1097">
        <f t="shared" si="37"/>
        <v>920</v>
      </c>
      <c r="AI65" s="1097">
        <f t="shared" si="37"/>
        <v>-1180</v>
      </c>
      <c r="AJ65" s="959"/>
      <c r="AL65" s="1099">
        <f t="shared" si="24"/>
        <v>920</v>
      </c>
      <c r="AM65" s="1099">
        <f t="shared" si="24"/>
        <v>-1180</v>
      </c>
    </row>
    <row r="66" spans="1:39" ht="15" customHeight="1">
      <c r="A66" s="265">
        <v>602.54999999999995</v>
      </c>
      <c r="B66" s="1063" t="s">
        <v>248</v>
      </c>
      <c r="C66" s="961"/>
      <c r="D66" s="961"/>
      <c r="E66" s="1083"/>
      <c r="F66" s="1083"/>
      <c r="G66" s="961"/>
      <c r="H66" s="961"/>
      <c r="I66" s="961"/>
      <c r="J66" s="961"/>
      <c r="K66" s="961"/>
      <c r="M66">
        <f t="shared" si="8"/>
        <v>6025500</v>
      </c>
      <c r="N66" s="1122" t="str">
        <f t="shared" si="9"/>
        <v>Shpenzime per mirembajtjen e mjeteve te transportit</v>
      </c>
      <c r="O66" s="959">
        <f t="shared" si="10"/>
        <v>0</v>
      </c>
      <c r="Q66">
        <f t="shared" si="1"/>
        <v>0</v>
      </c>
      <c r="R66" s="959">
        <f t="shared" si="11"/>
        <v>0</v>
      </c>
      <c r="V66" s="959">
        <f t="shared" si="5"/>
        <v>0</v>
      </c>
      <c r="W66" s="959">
        <f t="shared" si="2"/>
        <v>0</v>
      </c>
      <c r="X66" s="959">
        <v>0</v>
      </c>
      <c r="Y66" s="959">
        <v>434700</v>
      </c>
      <c r="AC66" s="959">
        <v>45300</v>
      </c>
      <c r="AD66" s="959">
        <f t="shared" si="35"/>
        <v>0</v>
      </c>
      <c r="AE66" s="959">
        <f t="shared" si="35"/>
        <v>480000</v>
      </c>
      <c r="AF66" s="1097">
        <f t="shared" si="36"/>
        <v>0</v>
      </c>
      <c r="AG66" s="1097">
        <f t="shared" si="36"/>
        <v>480</v>
      </c>
      <c r="AH66" s="1097">
        <f t="shared" si="37"/>
        <v>0</v>
      </c>
      <c r="AI66" s="1097">
        <f t="shared" si="37"/>
        <v>-480</v>
      </c>
      <c r="AJ66" s="959"/>
      <c r="AL66" s="1099">
        <f t="shared" si="24"/>
        <v>0</v>
      </c>
      <c r="AM66" s="1099">
        <f t="shared" si="24"/>
        <v>-480</v>
      </c>
    </row>
    <row r="67" spans="1:39" ht="15" customHeight="1">
      <c r="A67" s="267">
        <v>602.55999999999995</v>
      </c>
      <c r="B67" s="1063" t="s">
        <v>327</v>
      </c>
      <c r="C67" s="961"/>
      <c r="D67" s="961"/>
      <c r="E67" s="1083"/>
      <c r="F67" s="1083"/>
      <c r="G67" s="961"/>
      <c r="H67" s="961"/>
      <c r="I67" s="961"/>
      <c r="J67" s="961"/>
      <c r="K67" s="961"/>
      <c r="M67">
        <f t="shared" si="8"/>
        <v>6025599.9999999991</v>
      </c>
      <c r="N67" s="1122" t="str">
        <f t="shared" si="9"/>
        <v>Shpenzime per mirembajtjen e rezerves shteterore</v>
      </c>
      <c r="O67" s="959">
        <f t="shared" si="10"/>
        <v>0</v>
      </c>
      <c r="Q67">
        <f t="shared" si="1"/>
        <v>0</v>
      </c>
      <c r="R67" s="959">
        <f t="shared" si="11"/>
        <v>0</v>
      </c>
      <c r="V67" s="959">
        <f t="shared" si="5"/>
        <v>0</v>
      </c>
      <c r="W67" s="959">
        <f t="shared" si="2"/>
        <v>0</v>
      </c>
      <c r="X67" s="959">
        <v>0</v>
      </c>
      <c r="Y67" s="959">
        <v>0</v>
      </c>
      <c r="AD67" s="959">
        <f t="shared" si="35"/>
        <v>0</v>
      </c>
      <c r="AE67" s="959">
        <f t="shared" si="35"/>
        <v>0</v>
      </c>
      <c r="AF67" s="1097">
        <f t="shared" si="36"/>
        <v>0</v>
      </c>
      <c r="AG67" s="1097">
        <f t="shared" si="36"/>
        <v>0</v>
      </c>
      <c r="AH67" s="1097">
        <f t="shared" si="37"/>
        <v>0</v>
      </c>
      <c r="AI67" s="1097">
        <f t="shared" si="37"/>
        <v>0</v>
      </c>
      <c r="AJ67" s="959"/>
      <c r="AL67" s="1099">
        <f t="shared" si="24"/>
        <v>0</v>
      </c>
      <c r="AM67" s="1099">
        <f t="shared" si="24"/>
        <v>0</v>
      </c>
    </row>
    <row r="68" spans="1:39" ht="15" customHeight="1">
      <c r="A68" s="267">
        <v>602.58000000000004</v>
      </c>
      <c r="B68" s="1063" t="s">
        <v>381</v>
      </c>
      <c r="C68" s="961">
        <v>50</v>
      </c>
      <c r="D68" s="961"/>
      <c r="E68" s="1083">
        <v>120</v>
      </c>
      <c r="F68" s="1083"/>
      <c r="G68" s="1083">
        <v>100</v>
      </c>
      <c r="H68" s="1083">
        <v>100</v>
      </c>
      <c r="I68" s="961"/>
      <c r="J68" s="961">
        <v>120</v>
      </c>
      <c r="K68" s="961">
        <v>120</v>
      </c>
      <c r="M68">
        <f t="shared" si="8"/>
        <v>6025800</v>
      </c>
      <c r="N68" s="1122" t="str">
        <f t="shared" si="9"/>
        <v>Shpenzime per mirembajtjen e paisjeve te zyrave</v>
      </c>
      <c r="O68" s="959">
        <f t="shared" si="10"/>
        <v>100000</v>
      </c>
      <c r="Q68">
        <f t="shared" si="1"/>
        <v>1</v>
      </c>
      <c r="R68" s="959">
        <f t="shared" si="11"/>
        <v>100</v>
      </c>
      <c r="V68" s="959">
        <f t="shared" si="5"/>
        <v>100</v>
      </c>
      <c r="W68" s="959">
        <f t="shared" si="2"/>
        <v>120</v>
      </c>
      <c r="X68" s="959">
        <v>0</v>
      </c>
      <c r="Y68" s="959">
        <v>0</v>
      </c>
      <c r="AA68" s="959">
        <v>1178400</v>
      </c>
      <c r="AC68" s="959">
        <v>421600</v>
      </c>
      <c r="AD68" s="959">
        <f t="shared" si="35"/>
        <v>0</v>
      </c>
      <c r="AE68" s="959">
        <f t="shared" si="35"/>
        <v>1600000</v>
      </c>
      <c r="AF68" s="1097">
        <f t="shared" si="36"/>
        <v>0</v>
      </c>
      <c r="AG68" s="1097">
        <f t="shared" si="36"/>
        <v>1600</v>
      </c>
      <c r="AH68" s="1097">
        <f t="shared" si="37"/>
        <v>120</v>
      </c>
      <c r="AI68" s="1097">
        <f t="shared" si="37"/>
        <v>-1600</v>
      </c>
      <c r="AJ68" s="959"/>
      <c r="AL68" s="1099">
        <f t="shared" si="24"/>
        <v>120</v>
      </c>
      <c r="AM68" s="1099">
        <f t="shared" si="24"/>
        <v>-1600</v>
      </c>
    </row>
    <row r="69" spans="1:39" s="226" customFormat="1" ht="15" customHeight="1">
      <c r="A69" s="1163">
        <v>602.6</v>
      </c>
      <c r="B69" s="1164" t="s">
        <v>378</v>
      </c>
      <c r="C69" s="1161">
        <f t="shared" ref="C69:K69" si="38">SUM(C70:C74)</f>
        <v>0</v>
      </c>
      <c r="D69" s="1161">
        <f t="shared" si="38"/>
        <v>0</v>
      </c>
      <c r="E69" s="1161">
        <f t="shared" si="38"/>
        <v>0</v>
      </c>
      <c r="F69" s="1161">
        <f t="shared" si="38"/>
        <v>0</v>
      </c>
      <c r="G69" s="1161">
        <f t="shared" si="38"/>
        <v>0</v>
      </c>
      <c r="H69" s="1161">
        <f t="shared" si="38"/>
        <v>0</v>
      </c>
      <c r="I69" s="1161">
        <f t="shared" si="38"/>
        <v>0</v>
      </c>
      <c r="J69" s="1161">
        <f t="shared" si="38"/>
        <v>0</v>
      </c>
      <c r="K69" s="1161">
        <f t="shared" si="38"/>
        <v>0</v>
      </c>
      <c r="M69">
        <f t="shared" si="8"/>
        <v>6026000</v>
      </c>
      <c r="N69" s="1122" t="str">
        <f t="shared" si="9"/>
        <v>Shpenzime per qeramarrje</v>
      </c>
      <c r="O69" s="959">
        <f t="shared" si="10"/>
        <v>0</v>
      </c>
      <c r="P69" s="226">
        <v>1</v>
      </c>
      <c r="Q69">
        <f t="shared" si="1"/>
        <v>0</v>
      </c>
      <c r="R69" s="959">
        <f t="shared" si="11"/>
        <v>0</v>
      </c>
      <c r="U69" s="226">
        <v>1</v>
      </c>
      <c r="V69" s="959">
        <f t="shared" si="5"/>
        <v>0</v>
      </c>
      <c r="W69" s="959">
        <f t="shared" si="2"/>
        <v>0</v>
      </c>
      <c r="X69" s="1094">
        <f t="shared" ref="X69:Y69" si="39">SUM(X70:X74)</f>
        <v>0</v>
      </c>
      <c r="Y69" s="1094">
        <f t="shared" si="39"/>
        <v>0</v>
      </c>
      <c r="Z69" s="1094"/>
      <c r="AA69" s="1094"/>
      <c r="AB69" s="1094"/>
      <c r="AC69" s="1094"/>
      <c r="AD69" s="959">
        <f t="shared" si="35"/>
        <v>0</v>
      </c>
      <c r="AE69" s="959">
        <f t="shared" si="35"/>
        <v>0</v>
      </c>
      <c r="AF69" s="1097">
        <f t="shared" si="36"/>
        <v>0</v>
      </c>
      <c r="AG69" s="1097">
        <f t="shared" si="36"/>
        <v>0</v>
      </c>
      <c r="AH69" s="1097">
        <f t="shared" si="37"/>
        <v>0</v>
      </c>
      <c r="AI69" s="1097">
        <f t="shared" si="37"/>
        <v>0</v>
      </c>
      <c r="AJ69" s="959"/>
      <c r="AK69"/>
      <c r="AL69" s="1099">
        <f t="shared" si="24"/>
        <v>0</v>
      </c>
      <c r="AM69" s="1099">
        <f t="shared" si="24"/>
        <v>0</v>
      </c>
    </row>
    <row r="70" spans="1:39" ht="15" customHeight="1">
      <c r="A70" s="267">
        <v>602.61</v>
      </c>
      <c r="B70" s="1063" t="s">
        <v>328</v>
      </c>
      <c r="C70" s="961"/>
      <c r="D70" s="961"/>
      <c r="E70" s="961"/>
      <c r="F70" s="961"/>
      <c r="G70" s="961"/>
      <c r="H70" s="961"/>
      <c r="I70" s="961"/>
      <c r="J70" s="961"/>
      <c r="K70" s="961"/>
      <c r="M70">
        <f t="shared" si="8"/>
        <v>6026100</v>
      </c>
      <c r="N70" s="1122" t="str">
        <f t="shared" si="9"/>
        <v>Shpenzime per qeramarrje  ambjentesh</v>
      </c>
      <c r="O70" s="959">
        <f t="shared" si="10"/>
        <v>0</v>
      </c>
      <c r="Q70">
        <f t="shared" si="1"/>
        <v>0</v>
      </c>
      <c r="R70" s="959">
        <f t="shared" si="11"/>
        <v>0</v>
      </c>
      <c r="V70" s="959">
        <f t="shared" si="5"/>
        <v>0</v>
      </c>
      <c r="W70" s="959">
        <f t="shared" si="2"/>
        <v>0</v>
      </c>
      <c r="AD70" s="959">
        <f t="shared" si="35"/>
        <v>0</v>
      </c>
      <c r="AE70" s="959">
        <f t="shared" si="35"/>
        <v>0</v>
      </c>
      <c r="AF70" s="1097">
        <f t="shared" si="36"/>
        <v>0</v>
      </c>
      <c r="AG70" s="1097">
        <f t="shared" si="36"/>
        <v>0</v>
      </c>
      <c r="AH70" s="1097">
        <f t="shared" si="37"/>
        <v>0</v>
      </c>
      <c r="AI70" s="1097">
        <f t="shared" si="37"/>
        <v>0</v>
      </c>
      <c r="AJ70" s="959"/>
      <c r="AL70" s="1099">
        <f t="shared" si="24"/>
        <v>0</v>
      </c>
      <c r="AM70" s="1099">
        <f t="shared" si="24"/>
        <v>0</v>
      </c>
    </row>
    <row r="71" spans="1:39" ht="15" customHeight="1">
      <c r="A71" s="267">
        <v>602.62</v>
      </c>
      <c r="B71" s="1063" t="s">
        <v>329</v>
      </c>
      <c r="C71" s="961"/>
      <c r="D71" s="961"/>
      <c r="E71" s="961"/>
      <c r="F71" s="961"/>
      <c r="G71" s="961"/>
      <c r="H71" s="961"/>
      <c r="I71" s="961"/>
      <c r="J71" s="961"/>
      <c r="K71" s="961"/>
      <c r="M71">
        <f t="shared" si="8"/>
        <v>6026200</v>
      </c>
      <c r="N71" s="1122" t="str">
        <f t="shared" si="9"/>
        <v>Shpenzime per qeramarrje  per pronat residenciale</v>
      </c>
      <c r="O71" s="959">
        <f t="shared" si="10"/>
        <v>0</v>
      </c>
      <c r="Q71">
        <f t="shared" si="1"/>
        <v>0</v>
      </c>
      <c r="R71" s="959">
        <f t="shared" si="11"/>
        <v>0</v>
      </c>
      <c r="V71" s="959">
        <f t="shared" si="5"/>
        <v>0</v>
      </c>
      <c r="W71" s="959">
        <f t="shared" si="2"/>
        <v>0</v>
      </c>
      <c r="AD71" s="959">
        <f t="shared" si="35"/>
        <v>0</v>
      </c>
      <c r="AE71" s="959">
        <f t="shared" si="35"/>
        <v>0</v>
      </c>
      <c r="AF71" s="1097">
        <f t="shared" si="36"/>
        <v>0</v>
      </c>
      <c r="AG71" s="1097">
        <f t="shared" si="36"/>
        <v>0</v>
      </c>
      <c r="AH71" s="1097">
        <f t="shared" si="37"/>
        <v>0</v>
      </c>
      <c r="AI71" s="1097">
        <f t="shared" si="37"/>
        <v>0</v>
      </c>
      <c r="AJ71" s="959"/>
      <c r="AL71" s="1099">
        <f t="shared" si="24"/>
        <v>0</v>
      </c>
      <c r="AM71" s="1099">
        <f t="shared" si="24"/>
        <v>0</v>
      </c>
    </row>
    <row r="72" spans="1:39" ht="15" customHeight="1">
      <c r="A72" s="267">
        <v>602.63</v>
      </c>
      <c r="B72" s="1063" t="s">
        <v>330</v>
      </c>
      <c r="C72" s="961"/>
      <c r="D72" s="961"/>
      <c r="E72" s="961"/>
      <c r="F72" s="961"/>
      <c r="G72" s="961"/>
      <c r="H72" s="961"/>
      <c r="I72" s="961"/>
      <c r="J72" s="961"/>
      <c r="K72" s="961"/>
      <c r="M72">
        <f t="shared" si="8"/>
        <v>6026300</v>
      </c>
      <c r="N72" s="1122" t="str">
        <f t="shared" si="9"/>
        <v>Shpenzime per qeramarrje per aparate dhe pajisjet teknike, makineri</v>
      </c>
      <c r="O72" s="959">
        <f t="shared" si="10"/>
        <v>0</v>
      </c>
      <c r="Q72">
        <f t="shared" si="1"/>
        <v>0</v>
      </c>
      <c r="R72" s="959">
        <f t="shared" si="11"/>
        <v>0</v>
      </c>
      <c r="V72" s="959">
        <f t="shared" si="5"/>
        <v>0</v>
      </c>
      <c r="W72" s="959">
        <f t="shared" si="2"/>
        <v>0</v>
      </c>
      <c r="AD72" s="959">
        <f t="shared" si="35"/>
        <v>0</v>
      </c>
      <c r="AE72" s="959">
        <f t="shared" si="35"/>
        <v>0</v>
      </c>
      <c r="AF72" s="1097">
        <f t="shared" si="36"/>
        <v>0</v>
      </c>
      <c r="AG72" s="1097">
        <f t="shared" si="36"/>
        <v>0</v>
      </c>
      <c r="AH72" s="1097">
        <f t="shared" si="37"/>
        <v>0</v>
      </c>
      <c r="AI72" s="1097">
        <f t="shared" si="37"/>
        <v>0</v>
      </c>
      <c r="AJ72" s="959"/>
      <c r="AL72" s="1099">
        <f t="shared" si="24"/>
        <v>0</v>
      </c>
      <c r="AM72" s="1099">
        <f t="shared" si="24"/>
        <v>0</v>
      </c>
    </row>
    <row r="73" spans="1:39" ht="15" customHeight="1">
      <c r="A73" s="268">
        <v>602.64</v>
      </c>
      <c r="B73" s="1063" t="s">
        <v>333</v>
      </c>
      <c r="C73" s="961"/>
      <c r="D73" s="961"/>
      <c r="E73" s="961"/>
      <c r="F73" s="961"/>
      <c r="G73" s="961"/>
      <c r="H73" s="961"/>
      <c r="I73" s="961"/>
      <c r="J73" s="961"/>
      <c r="K73" s="961"/>
      <c r="M73">
        <f t="shared" si="8"/>
        <v>6026400</v>
      </c>
      <c r="N73" s="1122" t="str">
        <f t="shared" si="9"/>
        <v>Shpenzime per qeramarrje mjetesh transporti</v>
      </c>
      <c r="O73" s="959">
        <f t="shared" si="10"/>
        <v>0</v>
      </c>
      <c r="Q73">
        <f t="shared" si="1"/>
        <v>0</v>
      </c>
      <c r="R73" s="959">
        <f t="shared" si="11"/>
        <v>0</v>
      </c>
      <c r="V73" s="959">
        <f t="shared" si="5"/>
        <v>0</v>
      </c>
      <c r="W73" s="959">
        <f t="shared" si="2"/>
        <v>0</v>
      </c>
      <c r="AD73" s="959">
        <f t="shared" si="35"/>
        <v>0</v>
      </c>
      <c r="AE73" s="959">
        <f t="shared" si="35"/>
        <v>0</v>
      </c>
      <c r="AF73" s="1097">
        <f t="shared" si="36"/>
        <v>0</v>
      </c>
      <c r="AG73" s="1097">
        <f t="shared" si="36"/>
        <v>0</v>
      </c>
      <c r="AH73" s="1097">
        <f t="shared" si="37"/>
        <v>0</v>
      </c>
      <c r="AI73" s="1097">
        <f t="shared" si="37"/>
        <v>0</v>
      </c>
      <c r="AJ73" s="959"/>
      <c r="AL73" s="1099">
        <f t="shared" si="24"/>
        <v>0</v>
      </c>
      <c r="AM73" s="1099">
        <f t="shared" si="24"/>
        <v>0</v>
      </c>
    </row>
    <row r="74" spans="1:39" ht="15" customHeight="1">
      <c r="A74" s="269">
        <v>602.69000000000005</v>
      </c>
      <c r="B74" s="1063" t="s">
        <v>334</v>
      </c>
      <c r="C74" s="961"/>
      <c r="D74" s="961"/>
      <c r="E74" s="961"/>
      <c r="F74" s="961"/>
      <c r="G74" s="961"/>
      <c r="H74" s="961"/>
      <c r="I74" s="961"/>
      <c r="J74" s="961"/>
      <c r="K74" s="961"/>
      <c r="M74">
        <f t="shared" si="8"/>
        <v>6026900.0000000009</v>
      </c>
      <c r="N74" s="1122" t="str">
        <f t="shared" si="9"/>
        <v>Shpenzime te tjera qeraje</v>
      </c>
      <c r="O74" s="959">
        <f t="shared" si="10"/>
        <v>0</v>
      </c>
      <c r="Q74">
        <f t="shared" si="1"/>
        <v>0</v>
      </c>
      <c r="R74" s="959">
        <f t="shared" si="11"/>
        <v>0</v>
      </c>
      <c r="V74" s="959">
        <f t="shared" si="5"/>
        <v>0</v>
      </c>
      <c r="W74" s="959">
        <f t="shared" si="2"/>
        <v>0</v>
      </c>
      <c r="AD74" s="959">
        <f t="shared" si="35"/>
        <v>0</v>
      </c>
      <c r="AE74" s="959">
        <f t="shared" si="35"/>
        <v>0</v>
      </c>
      <c r="AF74" s="1097">
        <f t="shared" si="36"/>
        <v>0</v>
      </c>
      <c r="AG74" s="1097">
        <f t="shared" si="36"/>
        <v>0</v>
      </c>
      <c r="AH74" s="1097">
        <f t="shared" si="37"/>
        <v>0</v>
      </c>
      <c r="AI74" s="1097">
        <f t="shared" si="37"/>
        <v>0</v>
      </c>
      <c r="AJ74" s="959"/>
      <c r="AL74" s="1099">
        <f t="shared" si="24"/>
        <v>0</v>
      </c>
      <c r="AM74" s="1099">
        <f t="shared" si="24"/>
        <v>0</v>
      </c>
    </row>
    <row r="75" spans="1:39" s="226" customFormat="1" ht="15" customHeight="1">
      <c r="A75" s="1165">
        <v>602.70000000000005</v>
      </c>
      <c r="B75" s="1166" t="s">
        <v>379</v>
      </c>
      <c r="C75" s="1161">
        <f t="shared" ref="C75:K75" si="40">SUM(C76:C81)</f>
        <v>0</v>
      </c>
      <c r="D75" s="1161">
        <f t="shared" si="40"/>
        <v>0</v>
      </c>
      <c r="E75" s="1161">
        <f t="shared" si="40"/>
        <v>0</v>
      </c>
      <c r="F75" s="1161">
        <f t="shared" si="40"/>
        <v>0</v>
      </c>
      <c r="G75" s="1161">
        <f t="shared" si="40"/>
        <v>0</v>
      </c>
      <c r="H75" s="1161">
        <f t="shared" si="40"/>
        <v>0</v>
      </c>
      <c r="I75" s="1161">
        <f t="shared" si="40"/>
        <v>0</v>
      </c>
      <c r="J75" s="1161">
        <f t="shared" si="40"/>
        <v>0</v>
      </c>
      <c r="K75" s="1161">
        <f t="shared" si="40"/>
        <v>0</v>
      </c>
      <c r="M75">
        <f t="shared" si="8"/>
        <v>6027000</v>
      </c>
      <c r="N75" s="1122" t="str">
        <f t="shared" si="9"/>
        <v>Shpenzime per detyrime dhe kompensime legale</v>
      </c>
      <c r="O75" s="959">
        <f t="shared" si="10"/>
        <v>0</v>
      </c>
      <c r="P75" s="226">
        <v>1</v>
      </c>
      <c r="Q75">
        <f t="shared" si="1"/>
        <v>0</v>
      </c>
      <c r="R75" s="959">
        <f t="shared" si="11"/>
        <v>0</v>
      </c>
      <c r="U75" s="226">
        <v>1</v>
      </c>
      <c r="V75" s="959">
        <f t="shared" si="5"/>
        <v>0</v>
      </c>
      <c r="W75" s="959">
        <f t="shared" si="2"/>
        <v>0</v>
      </c>
      <c r="X75" s="1094">
        <f t="shared" ref="X75:Y75" si="41">SUM(X76:X81)</f>
        <v>0</v>
      </c>
      <c r="Y75" s="1094">
        <f t="shared" si="41"/>
        <v>0</v>
      </c>
      <c r="Z75" s="1094"/>
      <c r="AA75" s="1094"/>
      <c r="AB75" s="1094"/>
      <c r="AC75" s="1094"/>
      <c r="AD75" s="959">
        <f t="shared" si="35"/>
        <v>0</v>
      </c>
      <c r="AE75" s="959">
        <f t="shared" si="35"/>
        <v>0</v>
      </c>
      <c r="AF75" s="1097">
        <f t="shared" si="36"/>
        <v>0</v>
      </c>
      <c r="AG75" s="1097">
        <f t="shared" si="36"/>
        <v>0</v>
      </c>
      <c r="AH75" s="1097">
        <f t="shared" si="37"/>
        <v>0</v>
      </c>
      <c r="AI75" s="1097">
        <f t="shared" si="37"/>
        <v>0</v>
      </c>
      <c r="AJ75" s="959"/>
      <c r="AK75"/>
      <c r="AL75" s="1099">
        <f t="shared" si="24"/>
        <v>0</v>
      </c>
      <c r="AM75" s="1099">
        <f t="shared" si="24"/>
        <v>0</v>
      </c>
    </row>
    <row r="76" spans="1:39" ht="15" customHeight="1">
      <c r="A76" s="269">
        <v>602.71</v>
      </c>
      <c r="B76" s="1063" t="s">
        <v>335</v>
      </c>
      <c r="C76" s="961"/>
      <c r="D76" s="961"/>
      <c r="E76" s="961"/>
      <c r="F76" s="961"/>
      <c r="G76" s="961"/>
      <c r="H76" s="961"/>
      <c r="I76" s="961"/>
      <c r="J76" s="961"/>
      <c r="K76" s="961"/>
      <c r="M76">
        <f t="shared" si="8"/>
        <v>6027100</v>
      </c>
      <c r="N76" s="1122" t="str">
        <f t="shared" si="9"/>
        <v>Shpenzime per kompensim per ish te perndjekurit politike</v>
      </c>
      <c r="O76" s="959">
        <f t="shared" si="10"/>
        <v>0</v>
      </c>
      <c r="Q76">
        <f t="shared" si="1"/>
        <v>0</v>
      </c>
      <c r="R76" s="959">
        <f t="shared" si="11"/>
        <v>0</v>
      </c>
      <c r="V76" s="959">
        <f t="shared" si="5"/>
        <v>0</v>
      </c>
      <c r="W76" s="959">
        <f t="shared" si="2"/>
        <v>0</v>
      </c>
      <c r="AD76" s="959">
        <f t="shared" si="35"/>
        <v>0</v>
      </c>
      <c r="AE76" s="959">
        <f t="shared" si="35"/>
        <v>0</v>
      </c>
      <c r="AF76" s="1097">
        <f t="shared" si="36"/>
        <v>0</v>
      </c>
      <c r="AG76" s="1097">
        <f t="shared" si="36"/>
        <v>0</v>
      </c>
      <c r="AH76" s="1097">
        <f t="shared" si="37"/>
        <v>0</v>
      </c>
      <c r="AI76" s="1097">
        <f t="shared" si="37"/>
        <v>0</v>
      </c>
      <c r="AJ76" s="959"/>
      <c r="AL76" s="1099">
        <f t="shared" si="24"/>
        <v>0</v>
      </c>
      <c r="AM76" s="1099">
        <f t="shared" si="24"/>
        <v>0</v>
      </c>
    </row>
    <row r="77" spans="1:39" ht="15" customHeight="1">
      <c r="A77" s="269">
        <v>602.72</v>
      </c>
      <c r="B77" s="1063" t="s">
        <v>336</v>
      </c>
      <c r="C77" s="961"/>
      <c r="D77" s="961"/>
      <c r="E77" s="961"/>
      <c r="F77" s="961"/>
      <c r="G77" s="961"/>
      <c r="H77" s="961"/>
      <c r="I77" s="961"/>
      <c r="J77" s="961"/>
      <c r="K77" s="961"/>
      <c r="M77">
        <f t="shared" si="8"/>
        <v>6027200</v>
      </c>
      <c r="N77" s="1122" t="str">
        <f t="shared" si="9"/>
        <v>Shpenzime per kompensim per burgosjet e padrejta</v>
      </c>
      <c r="O77" s="959">
        <f t="shared" si="10"/>
        <v>0</v>
      </c>
      <c r="Q77">
        <f t="shared" si="1"/>
        <v>0</v>
      </c>
      <c r="R77" s="959">
        <f t="shared" si="11"/>
        <v>0</v>
      </c>
      <c r="V77" s="959">
        <f t="shared" si="5"/>
        <v>0</v>
      </c>
      <c r="W77" s="959">
        <f t="shared" si="2"/>
        <v>0</v>
      </c>
      <c r="AD77" s="959">
        <f t="shared" si="35"/>
        <v>0</v>
      </c>
      <c r="AE77" s="959">
        <f t="shared" si="35"/>
        <v>0</v>
      </c>
      <c r="AF77" s="1097">
        <f t="shared" si="36"/>
        <v>0</v>
      </c>
      <c r="AG77" s="1097">
        <f t="shared" si="36"/>
        <v>0</v>
      </c>
      <c r="AH77" s="1097">
        <f t="shared" si="37"/>
        <v>0</v>
      </c>
      <c r="AI77" s="1097">
        <f t="shared" si="37"/>
        <v>0</v>
      </c>
      <c r="AJ77" s="959"/>
      <c r="AL77" s="1099">
        <f t="shared" si="24"/>
        <v>0</v>
      </c>
      <c r="AM77" s="1099">
        <f t="shared" si="24"/>
        <v>0</v>
      </c>
    </row>
    <row r="78" spans="1:39" ht="15" customHeight="1">
      <c r="A78" s="269">
        <v>602.73</v>
      </c>
      <c r="B78" s="1063" t="s">
        <v>337</v>
      </c>
      <c r="C78" s="961"/>
      <c r="D78" s="961"/>
      <c r="E78" s="961"/>
      <c r="F78" s="961"/>
      <c r="G78" s="961"/>
      <c r="H78" s="961"/>
      <c r="I78" s="961"/>
      <c r="J78" s="961"/>
      <c r="K78" s="961"/>
      <c r="M78">
        <f t="shared" si="8"/>
        <v>6027300</v>
      </c>
      <c r="N78" s="1122" t="str">
        <f t="shared" si="9"/>
        <v>Shpenzime kompensimi per shpronesim ne te kaluaren</v>
      </c>
      <c r="O78" s="959">
        <f t="shared" si="10"/>
        <v>0</v>
      </c>
      <c r="Q78">
        <f t="shared" si="1"/>
        <v>0</v>
      </c>
      <c r="R78" s="959">
        <f t="shared" si="11"/>
        <v>0</v>
      </c>
      <c r="V78" s="959">
        <f t="shared" si="5"/>
        <v>0</v>
      </c>
      <c r="W78" s="959">
        <f t="shared" si="2"/>
        <v>0</v>
      </c>
      <c r="AD78" s="959">
        <f t="shared" si="35"/>
        <v>0</v>
      </c>
      <c r="AE78" s="959">
        <f t="shared" si="35"/>
        <v>0</v>
      </c>
      <c r="AF78" s="1097">
        <f t="shared" si="36"/>
        <v>0</v>
      </c>
      <c r="AG78" s="1097">
        <f t="shared" si="36"/>
        <v>0</v>
      </c>
      <c r="AH78" s="1097">
        <f t="shared" si="37"/>
        <v>0</v>
      </c>
      <c r="AI78" s="1097">
        <f t="shared" si="37"/>
        <v>0</v>
      </c>
      <c r="AJ78" s="959"/>
      <c r="AL78" s="1099">
        <f t="shared" si="24"/>
        <v>0</v>
      </c>
      <c r="AM78" s="1099">
        <f t="shared" si="24"/>
        <v>0</v>
      </c>
    </row>
    <row r="79" spans="1:39" ht="15" customHeight="1">
      <c r="A79" s="269">
        <v>602.74</v>
      </c>
      <c r="B79" s="1063" t="s">
        <v>338</v>
      </c>
      <c r="C79" s="961"/>
      <c r="D79" s="961"/>
      <c r="E79" s="961"/>
      <c r="F79" s="961"/>
      <c r="G79" s="961"/>
      <c r="H79" s="961"/>
      <c r="I79" s="961"/>
      <c r="J79" s="961"/>
      <c r="K79" s="961"/>
      <c r="M79">
        <f t="shared" si="8"/>
        <v>6027400</v>
      </c>
      <c r="N79" s="1122" t="str">
        <f t="shared" si="9"/>
        <v>Shpenzime per ekzekutim te vendimeve gjyqesore per largim nga puna</v>
      </c>
      <c r="O79" s="959">
        <f t="shared" si="10"/>
        <v>0</v>
      </c>
      <c r="Q79">
        <f t="shared" si="1"/>
        <v>0</v>
      </c>
      <c r="R79" s="959">
        <f t="shared" si="11"/>
        <v>0</v>
      </c>
      <c r="V79" s="959">
        <f t="shared" si="5"/>
        <v>0</v>
      </c>
      <c r="W79" s="959">
        <f t="shared" si="2"/>
        <v>0</v>
      </c>
      <c r="AD79" s="959">
        <f t="shared" si="35"/>
        <v>0</v>
      </c>
      <c r="AE79" s="959">
        <f t="shared" si="35"/>
        <v>0</v>
      </c>
      <c r="AF79" s="1097">
        <f t="shared" si="36"/>
        <v>0</v>
      </c>
      <c r="AG79" s="1097">
        <f t="shared" si="36"/>
        <v>0</v>
      </c>
      <c r="AH79" s="1097">
        <f t="shared" si="37"/>
        <v>0</v>
      </c>
      <c r="AI79" s="1097">
        <f t="shared" si="37"/>
        <v>0</v>
      </c>
      <c r="AJ79" s="959"/>
      <c r="AL79" s="1099">
        <f t="shared" si="24"/>
        <v>0</v>
      </c>
      <c r="AM79" s="1099">
        <f t="shared" si="24"/>
        <v>0</v>
      </c>
    </row>
    <row r="80" spans="1:39" ht="15" customHeight="1">
      <c r="A80" s="269">
        <v>602.75</v>
      </c>
      <c r="B80" s="1063" t="s">
        <v>339</v>
      </c>
      <c r="C80" s="961"/>
      <c r="D80" s="961"/>
      <c r="E80" s="961"/>
      <c r="F80" s="961"/>
      <c r="G80" s="961"/>
      <c r="H80" s="961"/>
      <c r="I80" s="961"/>
      <c r="J80" s="961"/>
      <c r="K80" s="961"/>
      <c r="M80">
        <f t="shared" si="8"/>
        <v>6027500</v>
      </c>
      <c r="N80" s="1122" t="str">
        <f t="shared" si="9"/>
        <v>Shpenzime per ekzekutim te detyrime kontraktuale te papaguara</v>
      </c>
      <c r="O80" s="959">
        <f t="shared" si="10"/>
        <v>0</v>
      </c>
      <c r="Q80">
        <f t="shared" si="1"/>
        <v>0</v>
      </c>
      <c r="R80" s="959">
        <f t="shared" si="11"/>
        <v>0</v>
      </c>
      <c r="V80" s="959">
        <f t="shared" si="5"/>
        <v>0</v>
      </c>
      <c r="W80" s="959">
        <f t="shared" si="2"/>
        <v>0</v>
      </c>
      <c r="AD80" s="959">
        <f t="shared" si="35"/>
        <v>0</v>
      </c>
      <c r="AE80" s="959">
        <f t="shared" si="35"/>
        <v>0</v>
      </c>
      <c r="AF80" s="1097">
        <f t="shared" si="36"/>
        <v>0</v>
      </c>
      <c r="AG80" s="1097">
        <f t="shared" si="36"/>
        <v>0</v>
      </c>
      <c r="AH80" s="1097">
        <f t="shared" si="37"/>
        <v>0</v>
      </c>
      <c r="AI80" s="1097">
        <f t="shared" si="37"/>
        <v>0</v>
      </c>
      <c r="AJ80" s="959"/>
      <c r="AL80" s="1099">
        <f t="shared" si="24"/>
        <v>0</v>
      </c>
      <c r="AM80" s="1099">
        <f t="shared" si="24"/>
        <v>0</v>
      </c>
    </row>
    <row r="81" spans="1:39" ht="15" customHeight="1">
      <c r="A81" s="269">
        <v>602.79</v>
      </c>
      <c r="B81" s="1063" t="s">
        <v>340</v>
      </c>
      <c r="C81" s="961"/>
      <c r="D81" s="961"/>
      <c r="E81" s="961"/>
      <c r="F81" s="961"/>
      <c r="G81" s="961"/>
      <c r="H81" s="961"/>
      <c r="I81" s="961"/>
      <c r="J81" s="961"/>
      <c r="K81" s="961"/>
      <c r="M81">
        <f t="shared" si="8"/>
        <v>6027900</v>
      </c>
      <c r="N81" s="1122" t="str">
        <f t="shared" si="9"/>
        <v>Shpenzime per kompensime te tjera te papaguara</v>
      </c>
      <c r="O81" s="959">
        <f t="shared" si="10"/>
        <v>0</v>
      </c>
      <c r="Q81">
        <f t="shared" ref="Q81:Q96" si="42">IF(AND(H81=0,I81=0),0,1)</f>
        <v>0</v>
      </c>
      <c r="R81" s="959">
        <f t="shared" si="11"/>
        <v>0</v>
      </c>
      <c r="V81" s="959">
        <f t="shared" ref="V81:V96" si="43">SUM(H81:I81)</f>
        <v>0</v>
      </c>
      <c r="W81" s="959">
        <f t="shared" ref="W81:W95" si="44">SUM(E81:F81)</f>
        <v>0</v>
      </c>
      <c r="AD81" s="959">
        <f t="shared" si="35"/>
        <v>0</v>
      </c>
      <c r="AE81" s="959">
        <f t="shared" si="35"/>
        <v>0</v>
      </c>
      <c r="AF81" s="1097">
        <f t="shared" si="36"/>
        <v>0</v>
      </c>
      <c r="AG81" s="1097">
        <f t="shared" si="36"/>
        <v>0</v>
      </c>
      <c r="AH81" s="1097">
        <f t="shared" si="37"/>
        <v>0</v>
      </c>
      <c r="AI81" s="1097">
        <f t="shared" si="37"/>
        <v>0</v>
      </c>
      <c r="AJ81" s="959"/>
      <c r="AL81" s="1099">
        <f t="shared" ref="AL81:AM96" si="45">E81-AF81</f>
        <v>0</v>
      </c>
      <c r="AM81" s="1099">
        <f t="shared" si="45"/>
        <v>0</v>
      </c>
    </row>
    <row r="82" spans="1:39" s="226" customFormat="1" ht="15" customHeight="1">
      <c r="A82" s="1165">
        <v>602.79999999999995</v>
      </c>
      <c r="B82" s="1165" t="s">
        <v>68</v>
      </c>
      <c r="C82" s="1161">
        <f t="shared" ref="C82:K82" si="46">SUM(C83:C84)</f>
        <v>0</v>
      </c>
      <c r="D82" s="1161">
        <f t="shared" si="46"/>
        <v>0</v>
      </c>
      <c r="E82" s="1161">
        <f t="shared" si="46"/>
        <v>0</v>
      </c>
      <c r="F82" s="1161">
        <f t="shared" si="46"/>
        <v>0</v>
      </c>
      <c r="G82" s="1161">
        <f t="shared" si="46"/>
        <v>0</v>
      </c>
      <c r="H82" s="1161">
        <f t="shared" si="46"/>
        <v>0</v>
      </c>
      <c r="I82" s="1161">
        <f t="shared" si="46"/>
        <v>0</v>
      </c>
      <c r="J82" s="1161">
        <f t="shared" si="46"/>
        <v>0</v>
      </c>
      <c r="K82" s="1161">
        <f t="shared" si="46"/>
        <v>0</v>
      </c>
      <c r="M82">
        <f t="shared" si="8"/>
        <v>6028000</v>
      </c>
      <c r="N82" s="1122" t="str">
        <f t="shared" si="9"/>
        <v>Shpenzime te lidhura me huamarrjen per hua</v>
      </c>
      <c r="O82" s="959">
        <f t="shared" si="10"/>
        <v>0</v>
      </c>
      <c r="P82" s="226">
        <v>1</v>
      </c>
      <c r="Q82">
        <f t="shared" si="42"/>
        <v>0</v>
      </c>
      <c r="R82" s="959">
        <f t="shared" si="11"/>
        <v>0</v>
      </c>
      <c r="U82" s="226">
        <v>1</v>
      </c>
      <c r="V82" s="959">
        <f t="shared" si="43"/>
        <v>0</v>
      </c>
      <c r="W82" s="959">
        <f t="shared" si="44"/>
        <v>0</v>
      </c>
      <c r="X82" s="1094"/>
      <c r="Y82" s="1094"/>
      <c r="Z82" s="1094"/>
      <c r="AA82" s="1094"/>
      <c r="AB82" s="1094"/>
      <c r="AC82" s="1094"/>
      <c r="AD82" s="959">
        <f t="shared" si="35"/>
        <v>0</v>
      </c>
      <c r="AE82" s="959">
        <f t="shared" si="35"/>
        <v>0</v>
      </c>
      <c r="AF82" s="1097">
        <f t="shared" si="36"/>
        <v>0</v>
      </c>
      <c r="AG82" s="1097">
        <f t="shared" si="36"/>
        <v>0</v>
      </c>
      <c r="AH82" s="1097">
        <f t="shared" si="37"/>
        <v>0</v>
      </c>
      <c r="AI82" s="1097">
        <f t="shared" si="37"/>
        <v>0</v>
      </c>
      <c r="AJ82" s="959"/>
      <c r="AK82"/>
      <c r="AL82" s="1099">
        <f t="shared" si="45"/>
        <v>0</v>
      </c>
      <c r="AM82" s="1099">
        <f t="shared" si="45"/>
        <v>0</v>
      </c>
    </row>
    <row r="83" spans="1:39" ht="15" customHeight="1">
      <c r="A83" s="269">
        <v>602.80999999999995</v>
      </c>
      <c r="B83" s="1063" t="s">
        <v>366</v>
      </c>
      <c r="C83" s="961"/>
      <c r="D83" s="961"/>
      <c r="E83" s="961"/>
      <c r="F83" s="961"/>
      <c r="G83" s="961"/>
      <c r="H83" s="961"/>
      <c r="I83" s="961"/>
      <c r="J83" s="961"/>
      <c r="K83" s="961"/>
      <c r="M83">
        <f t="shared" ref="M83:M96" si="47">A83*10000</f>
        <v>6028099.9999999991</v>
      </c>
      <c r="N83" s="1122" t="str">
        <f t="shared" ref="N83:N95" si="48">B83</f>
        <v>Shpenzime per kuota qe rrjedhin nga detyrimet</v>
      </c>
      <c r="O83" s="959">
        <f t="shared" ref="O83:O96" si="49">(H83+I83)*1000</f>
        <v>0</v>
      </c>
      <c r="Q83">
        <f t="shared" si="42"/>
        <v>0</v>
      </c>
      <c r="R83" s="959">
        <f t="shared" ref="R83:R95" si="50">SUM(H83:I83)</f>
        <v>0</v>
      </c>
      <c r="V83" s="959">
        <f t="shared" si="43"/>
        <v>0</v>
      </c>
      <c r="W83" s="959">
        <f t="shared" si="44"/>
        <v>0</v>
      </c>
      <c r="AD83" s="959">
        <f t="shared" si="35"/>
        <v>0</v>
      </c>
      <c r="AE83" s="959">
        <f t="shared" si="35"/>
        <v>0</v>
      </c>
      <c r="AF83" s="1097">
        <f t="shared" si="36"/>
        <v>0</v>
      </c>
      <c r="AG83" s="1097">
        <f t="shared" si="36"/>
        <v>0</v>
      </c>
      <c r="AH83" s="1097">
        <f t="shared" si="37"/>
        <v>0</v>
      </c>
      <c r="AI83" s="1097">
        <f t="shared" si="37"/>
        <v>0</v>
      </c>
      <c r="AJ83" s="959"/>
      <c r="AL83" s="1099">
        <f t="shared" si="45"/>
        <v>0</v>
      </c>
      <c r="AM83" s="1099">
        <f t="shared" si="45"/>
        <v>0</v>
      </c>
    </row>
    <row r="84" spans="1:39" ht="15" customHeight="1">
      <c r="A84" s="269">
        <v>602.82000000000005</v>
      </c>
      <c r="B84" s="1063" t="s">
        <v>375</v>
      </c>
      <c r="C84" s="961"/>
      <c r="D84" s="961"/>
      <c r="E84" s="961"/>
      <c r="F84" s="961"/>
      <c r="G84" s="961"/>
      <c r="H84" s="961"/>
      <c r="I84" s="961"/>
      <c r="J84" s="961"/>
      <c r="K84" s="961"/>
      <c r="M84">
        <f t="shared" si="47"/>
        <v>6028200.0000000009</v>
      </c>
      <c r="N84" s="1122" t="str">
        <f t="shared" si="48"/>
        <v>Shpenzime te tjera lidhur me huamarrjen</v>
      </c>
      <c r="O84" s="959">
        <f t="shared" si="49"/>
        <v>0</v>
      </c>
      <c r="Q84">
        <f t="shared" si="42"/>
        <v>0</v>
      </c>
      <c r="R84" s="959">
        <f t="shared" si="50"/>
        <v>0</v>
      </c>
      <c r="V84" s="959">
        <f t="shared" si="43"/>
        <v>0</v>
      </c>
      <c r="W84" s="959">
        <f t="shared" si="44"/>
        <v>0</v>
      </c>
      <c r="AD84" s="959">
        <f t="shared" si="35"/>
        <v>0</v>
      </c>
      <c r="AE84" s="959">
        <f t="shared" si="35"/>
        <v>0</v>
      </c>
      <c r="AF84" s="1097">
        <f t="shared" si="36"/>
        <v>0</v>
      </c>
      <c r="AG84" s="1097">
        <f t="shared" si="36"/>
        <v>0</v>
      </c>
      <c r="AH84" s="1097">
        <f t="shared" si="37"/>
        <v>0</v>
      </c>
      <c r="AI84" s="1097">
        <f t="shared" si="37"/>
        <v>0</v>
      </c>
      <c r="AJ84" s="959"/>
      <c r="AL84" s="1099">
        <f t="shared" si="45"/>
        <v>0</v>
      </c>
      <c r="AM84" s="1099">
        <f t="shared" si="45"/>
        <v>0</v>
      </c>
    </row>
    <row r="85" spans="1:39" s="226" customFormat="1" ht="15" customHeight="1">
      <c r="A85" s="1165">
        <v>602.9</v>
      </c>
      <c r="B85" s="1165" t="s">
        <v>69</v>
      </c>
      <c r="C85" s="1161">
        <f t="shared" ref="C85:K85" si="51">SUM(C86:C95)</f>
        <v>15</v>
      </c>
      <c r="D85" s="1161">
        <f t="shared" si="51"/>
        <v>0</v>
      </c>
      <c r="E85" s="1161">
        <f t="shared" si="51"/>
        <v>15</v>
      </c>
      <c r="F85" s="1161">
        <f t="shared" si="51"/>
        <v>0</v>
      </c>
      <c r="G85" s="1161">
        <f t="shared" si="51"/>
        <v>15</v>
      </c>
      <c r="H85" s="1161">
        <f t="shared" si="51"/>
        <v>15</v>
      </c>
      <c r="I85" s="1161">
        <f t="shared" si="51"/>
        <v>0</v>
      </c>
      <c r="J85" s="1161">
        <f t="shared" si="51"/>
        <v>15</v>
      </c>
      <c r="K85" s="1161">
        <f t="shared" si="51"/>
        <v>15</v>
      </c>
      <c r="M85">
        <f t="shared" si="47"/>
        <v>6029000</v>
      </c>
      <c r="N85" s="1122" t="str">
        <f t="shared" si="48"/>
        <v>Shpenzime te tjera operative</v>
      </c>
      <c r="O85" s="959">
        <f t="shared" si="49"/>
        <v>15000</v>
      </c>
      <c r="P85" s="226">
        <v>1</v>
      </c>
      <c r="Q85">
        <f t="shared" si="42"/>
        <v>1</v>
      </c>
      <c r="R85" s="959">
        <f t="shared" si="50"/>
        <v>15</v>
      </c>
      <c r="U85" s="226">
        <v>1</v>
      </c>
      <c r="V85" s="959">
        <f t="shared" si="43"/>
        <v>15</v>
      </c>
      <c r="W85" s="959">
        <f t="shared" si="44"/>
        <v>15</v>
      </c>
      <c r="X85" s="1094">
        <f t="shared" ref="X85:AJ85" si="52">SUM(X86:X95)</f>
        <v>74200</v>
      </c>
      <c r="Y85" s="1094">
        <f t="shared" si="52"/>
        <v>5306169</v>
      </c>
      <c r="Z85" s="1094">
        <f t="shared" si="52"/>
        <v>0</v>
      </c>
      <c r="AA85" s="1094">
        <f t="shared" si="52"/>
        <v>0</v>
      </c>
      <c r="AB85" s="1094">
        <f t="shared" si="52"/>
        <v>0</v>
      </c>
      <c r="AC85" s="1094">
        <f t="shared" si="52"/>
        <v>4313831</v>
      </c>
      <c r="AD85" s="1094">
        <f t="shared" si="52"/>
        <v>74200</v>
      </c>
      <c r="AE85" s="1094">
        <f t="shared" si="52"/>
        <v>9620000</v>
      </c>
      <c r="AF85" s="1099">
        <f t="shared" si="52"/>
        <v>74.2</v>
      </c>
      <c r="AG85" s="1099">
        <f t="shared" si="52"/>
        <v>9620</v>
      </c>
      <c r="AH85" s="1099">
        <f t="shared" si="52"/>
        <v>-59.2</v>
      </c>
      <c r="AI85" s="1099">
        <f t="shared" si="52"/>
        <v>-9620</v>
      </c>
      <c r="AJ85" s="1094">
        <f t="shared" si="52"/>
        <v>-59200</v>
      </c>
      <c r="AK85">
        <f t="shared" ref="AJ85:AK96" si="53">AI85*1000</f>
        <v>-9620000</v>
      </c>
      <c r="AL85" s="1099">
        <f t="shared" si="45"/>
        <v>-59.2</v>
      </c>
      <c r="AM85" s="1099">
        <f t="shared" si="45"/>
        <v>-9620</v>
      </c>
    </row>
    <row r="86" spans="1:39" ht="15" customHeight="1">
      <c r="A86" s="269">
        <v>602.90009999999995</v>
      </c>
      <c r="B86" s="1063" t="s">
        <v>367</v>
      </c>
      <c r="C86" s="961"/>
      <c r="D86" s="961"/>
      <c r="E86" s="1083"/>
      <c r="F86" s="1083"/>
      <c r="G86" s="961"/>
      <c r="H86" s="961"/>
      <c r="I86" s="961"/>
      <c r="J86" s="961"/>
      <c r="K86" s="961"/>
      <c r="M86">
        <f t="shared" si="47"/>
        <v>6029000.9999999991</v>
      </c>
      <c r="N86" s="1122" t="str">
        <f t="shared" si="48"/>
        <v>Shpenzime per pritje e percjellje</v>
      </c>
      <c r="O86" s="959">
        <f t="shared" si="49"/>
        <v>0</v>
      </c>
      <c r="Q86">
        <f t="shared" si="42"/>
        <v>0</v>
      </c>
      <c r="R86" s="959">
        <f t="shared" si="50"/>
        <v>0</v>
      </c>
      <c r="V86" s="959">
        <f t="shared" si="43"/>
        <v>0</v>
      </c>
      <c r="W86" s="959">
        <f t="shared" si="44"/>
        <v>0</v>
      </c>
      <c r="X86" s="959">
        <v>0</v>
      </c>
      <c r="Y86" s="959">
        <v>92400</v>
      </c>
      <c r="AC86" s="959">
        <f>200000-92400</f>
        <v>107600</v>
      </c>
      <c r="AD86" s="959">
        <f t="shared" ref="AD86:AE95" si="54">SUM(X86,Z86,AB86)</f>
        <v>0</v>
      </c>
      <c r="AE86" s="959">
        <f t="shared" si="54"/>
        <v>200000</v>
      </c>
      <c r="AF86" s="1097">
        <f t="shared" ref="AF86:AG95" si="55">AD86/1000</f>
        <v>0</v>
      </c>
      <c r="AG86" s="1097">
        <f t="shared" si="55"/>
        <v>200</v>
      </c>
      <c r="AH86" s="1097">
        <f t="shared" ref="AH86:AI95" si="56">E86-AF86</f>
        <v>0</v>
      </c>
      <c r="AI86" s="1097">
        <f t="shared" si="56"/>
        <v>-200</v>
      </c>
      <c r="AJ86">
        <f t="shared" si="53"/>
        <v>0</v>
      </c>
      <c r="AK86">
        <f t="shared" si="53"/>
        <v>-200000</v>
      </c>
      <c r="AL86" s="1099">
        <f t="shared" si="45"/>
        <v>0</v>
      </c>
      <c r="AM86" s="1099">
        <f t="shared" si="45"/>
        <v>-200</v>
      </c>
    </row>
    <row r="87" spans="1:39" ht="15" customHeight="1">
      <c r="A87" s="269">
        <v>602.90020000000004</v>
      </c>
      <c r="B87" s="1063" t="s">
        <v>368</v>
      </c>
      <c r="C87" s="961"/>
      <c r="D87" s="961"/>
      <c r="E87" s="1083"/>
      <c r="F87" s="1083"/>
      <c r="G87" s="961"/>
      <c r="H87" s="961"/>
      <c r="I87" s="961"/>
      <c r="J87" s="961"/>
      <c r="K87" s="961"/>
      <c r="M87">
        <f t="shared" si="47"/>
        <v>6029002</v>
      </c>
      <c r="N87" s="1122" t="str">
        <f t="shared" si="48"/>
        <v>Shpenzime per aktivitete sociale per personelin</v>
      </c>
      <c r="O87" s="959">
        <f t="shared" si="49"/>
        <v>0</v>
      </c>
      <c r="Q87">
        <f t="shared" si="42"/>
        <v>0</v>
      </c>
      <c r="R87" s="959">
        <f t="shared" si="50"/>
        <v>0</v>
      </c>
      <c r="V87" s="959">
        <f t="shared" si="43"/>
        <v>0</v>
      </c>
      <c r="W87" s="959">
        <f t="shared" si="44"/>
        <v>0</v>
      </c>
      <c r="AD87" s="959">
        <f t="shared" si="54"/>
        <v>0</v>
      </c>
      <c r="AE87" s="959">
        <f t="shared" si="54"/>
        <v>0</v>
      </c>
      <c r="AF87" s="1097">
        <f t="shared" si="55"/>
        <v>0</v>
      </c>
      <c r="AG87" s="1097">
        <f t="shared" si="55"/>
        <v>0</v>
      </c>
      <c r="AH87" s="1097">
        <f t="shared" si="56"/>
        <v>0</v>
      </c>
      <c r="AI87" s="1097">
        <f t="shared" si="56"/>
        <v>0</v>
      </c>
      <c r="AJ87">
        <f t="shared" si="53"/>
        <v>0</v>
      </c>
      <c r="AK87">
        <f t="shared" si="53"/>
        <v>0</v>
      </c>
      <c r="AL87" s="1099">
        <f t="shared" si="45"/>
        <v>0</v>
      </c>
      <c r="AM87" s="1099">
        <f t="shared" si="45"/>
        <v>0</v>
      </c>
    </row>
    <row r="88" spans="1:39" ht="15" customHeight="1">
      <c r="A88" s="269">
        <v>602.90030000000002</v>
      </c>
      <c r="B88" s="1063" t="s">
        <v>369</v>
      </c>
      <c r="C88" s="961"/>
      <c r="D88" s="961"/>
      <c r="E88" s="1083"/>
      <c r="F88" s="1083"/>
      <c r="G88" s="961"/>
      <c r="H88" s="961"/>
      <c r="I88" s="961"/>
      <c r="J88" s="961"/>
      <c r="K88" s="961"/>
      <c r="M88">
        <f t="shared" si="47"/>
        <v>6029003</v>
      </c>
      <c r="N88" s="1122" t="str">
        <f t="shared" si="48"/>
        <v>Shpenzime gjyqesore</v>
      </c>
      <c r="O88" s="959">
        <f t="shared" si="49"/>
        <v>0</v>
      </c>
      <c r="Q88">
        <f t="shared" si="42"/>
        <v>0</v>
      </c>
      <c r="R88" s="959">
        <f t="shared" si="50"/>
        <v>0</v>
      </c>
      <c r="V88" s="959">
        <f t="shared" si="43"/>
        <v>0</v>
      </c>
      <c r="W88" s="959">
        <f t="shared" si="44"/>
        <v>0</v>
      </c>
      <c r="AD88" s="959">
        <f t="shared" si="54"/>
        <v>0</v>
      </c>
      <c r="AE88" s="959">
        <f t="shared" si="54"/>
        <v>0</v>
      </c>
      <c r="AF88" s="1097">
        <f t="shared" si="55"/>
        <v>0</v>
      </c>
      <c r="AG88" s="1097">
        <f t="shared" si="55"/>
        <v>0</v>
      </c>
      <c r="AH88" s="1097">
        <f t="shared" si="56"/>
        <v>0</v>
      </c>
      <c r="AI88" s="1097">
        <f t="shared" si="56"/>
        <v>0</v>
      </c>
      <c r="AJ88">
        <f t="shared" si="53"/>
        <v>0</v>
      </c>
      <c r="AK88">
        <f t="shared" si="53"/>
        <v>0</v>
      </c>
      <c r="AL88" s="1099">
        <f t="shared" si="45"/>
        <v>0</v>
      </c>
      <c r="AM88" s="1099">
        <f t="shared" si="45"/>
        <v>0</v>
      </c>
    </row>
    <row r="89" spans="1:39" ht="15" customHeight="1">
      <c r="A89" s="269">
        <v>602.90039999999999</v>
      </c>
      <c r="B89" s="1063" t="s">
        <v>376</v>
      </c>
      <c r="C89" s="961"/>
      <c r="D89" s="961"/>
      <c r="E89" s="1083"/>
      <c r="F89" s="1083"/>
      <c r="G89" s="961"/>
      <c r="H89" s="961"/>
      <c r="I89" s="961"/>
      <c r="J89" s="961"/>
      <c r="K89" s="961"/>
      <c r="M89">
        <f t="shared" si="47"/>
        <v>6029004</v>
      </c>
      <c r="N89" s="1122" t="str">
        <f t="shared" si="48"/>
        <v>Shpenzime per sigurimin e ndertesave dhe te tjera kosto sigurimi te ngjashme</v>
      </c>
      <c r="O89" s="959">
        <f t="shared" si="49"/>
        <v>0</v>
      </c>
      <c r="Q89">
        <f t="shared" si="42"/>
        <v>0</v>
      </c>
      <c r="R89" s="959">
        <f t="shared" si="50"/>
        <v>0</v>
      </c>
      <c r="V89" s="959">
        <f t="shared" si="43"/>
        <v>0</v>
      </c>
      <c r="W89" s="959">
        <f t="shared" si="44"/>
        <v>0</v>
      </c>
      <c r="AC89" s="1096">
        <v>400000</v>
      </c>
      <c r="AD89" s="959">
        <f t="shared" si="54"/>
        <v>0</v>
      </c>
      <c r="AE89" s="959">
        <f t="shared" si="54"/>
        <v>400000</v>
      </c>
      <c r="AF89" s="1097">
        <f t="shared" si="55"/>
        <v>0</v>
      </c>
      <c r="AG89" s="1097">
        <f t="shared" si="55"/>
        <v>400</v>
      </c>
      <c r="AH89" s="1097">
        <f t="shared" si="56"/>
        <v>0</v>
      </c>
      <c r="AI89" s="1097">
        <f t="shared" si="56"/>
        <v>-400</v>
      </c>
      <c r="AJ89">
        <f t="shared" si="53"/>
        <v>0</v>
      </c>
      <c r="AK89">
        <f t="shared" si="53"/>
        <v>-400000</v>
      </c>
      <c r="AL89" s="1099">
        <f t="shared" si="45"/>
        <v>0</v>
      </c>
      <c r="AM89" s="1099">
        <f t="shared" si="45"/>
        <v>-400</v>
      </c>
    </row>
    <row r="90" spans="1:39" ht="15" customHeight="1">
      <c r="A90" s="269">
        <v>602.90049999999997</v>
      </c>
      <c r="B90" s="1063" t="s">
        <v>370</v>
      </c>
      <c r="C90" s="961"/>
      <c r="D90" s="961"/>
      <c r="E90" s="1083"/>
      <c r="F90" s="1083"/>
      <c r="G90" s="961"/>
      <c r="H90" s="961"/>
      <c r="I90" s="961"/>
      <c r="J90" s="961"/>
      <c r="K90" s="961"/>
      <c r="M90">
        <f t="shared" si="47"/>
        <v>6029005</v>
      </c>
      <c r="N90" s="1122" t="str">
        <f t="shared" si="48"/>
        <v>Shpenzime per honorare</v>
      </c>
      <c r="O90" s="959">
        <f t="shared" si="49"/>
        <v>0</v>
      </c>
      <c r="Q90">
        <f t="shared" si="42"/>
        <v>0</v>
      </c>
      <c r="R90" s="959">
        <f t="shared" si="50"/>
        <v>0</v>
      </c>
      <c r="V90" s="959">
        <f t="shared" si="43"/>
        <v>0</v>
      </c>
      <c r="W90" s="959">
        <f t="shared" si="44"/>
        <v>0</v>
      </c>
      <c r="AC90" s="959">
        <v>400000</v>
      </c>
      <c r="AD90" s="959">
        <f t="shared" si="54"/>
        <v>0</v>
      </c>
      <c r="AE90" s="959">
        <f t="shared" si="54"/>
        <v>400000</v>
      </c>
      <c r="AF90" s="1097">
        <f t="shared" si="55"/>
        <v>0</v>
      </c>
      <c r="AG90" s="1097">
        <f t="shared" si="55"/>
        <v>400</v>
      </c>
      <c r="AH90" s="1097">
        <f t="shared" si="56"/>
        <v>0</v>
      </c>
      <c r="AI90" s="1097">
        <f t="shared" si="56"/>
        <v>-400</v>
      </c>
      <c r="AJ90">
        <f t="shared" si="53"/>
        <v>0</v>
      </c>
      <c r="AK90">
        <f t="shared" si="53"/>
        <v>-400000</v>
      </c>
      <c r="AL90" s="1099">
        <f t="shared" si="45"/>
        <v>0</v>
      </c>
      <c r="AM90" s="1099">
        <f t="shared" si="45"/>
        <v>-400</v>
      </c>
    </row>
    <row r="91" spans="1:39" ht="15" customHeight="1">
      <c r="A91" s="269">
        <v>602.90060000000005</v>
      </c>
      <c r="B91" s="1063" t="s">
        <v>371</v>
      </c>
      <c r="C91" s="961"/>
      <c r="D91" s="961"/>
      <c r="E91" s="1083"/>
      <c r="F91" s="1083"/>
      <c r="G91" s="961"/>
      <c r="H91" s="961"/>
      <c r="I91" s="961"/>
      <c r="J91" s="961"/>
      <c r="K91" s="961"/>
      <c r="M91">
        <f t="shared" si="47"/>
        <v>6029006.0000000009</v>
      </c>
      <c r="N91" s="1122" t="str">
        <f t="shared" si="48"/>
        <v>Shpenzime kompesimi per anetaret e Parlamentit dhe zyrtare te tjera te zgjedhur</v>
      </c>
      <c r="O91" s="959">
        <f t="shared" si="49"/>
        <v>0</v>
      </c>
      <c r="Q91">
        <f t="shared" si="42"/>
        <v>0</v>
      </c>
      <c r="R91" s="959">
        <f t="shared" si="50"/>
        <v>0</v>
      </c>
      <c r="V91" s="959">
        <f t="shared" si="43"/>
        <v>0</v>
      </c>
      <c r="W91" s="959">
        <f t="shared" si="44"/>
        <v>0</v>
      </c>
      <c r="X91" s="959">
        <v>74200</v>
      </c>
      <c r="Y91" s="959">
        <v>3552000</v>
      </c>
      <c r="AC91" s="959">
        <v>2668000</v>
      </c>
      <c r="AD91" s="959">
        <f t="shared" si="54"/>
        <v>74200</v>
      </c>
      <c r="AE91" s="959">
        <f t="shared" si="54"/>
        <v>6220000</v>
      </c>
      <c r="AF91" s="1097">
        <f t="shared" si="55"/>
        <v>74.2</v>
      </c>
      <c r="AG91" s="1097">
        <f t="shared" si="55"/>
        <v>6220</v>
      </c>
      <c r="AH91" s="1097">
        <f t="shared" si="56"/>
        <v>-74.2</v>
      </c>
      <c r="AI91" s="1097">
        <f t="shared" si="56"/>
        <v>-6220</v>
      </c>
      <c r="AJ91">
        <f t="shared" si="53"/>
        <v>-74200</v>
      </c>
      <c r="AK91">
        <f>AI91*1000</f>
        <v>-6220000</v>
      </c>
      <c r="AL91" s="1099">
        <f t="shared" si="45"/>
        <v>-74.2</v>
      </c>
      <c r="AM91" s="1099">
        <f t="shared" si="45"/>
        <v>-6220</v>
      </c>
    </row>
    <row r="92" spans="1:39" ht="15" customHeight="1">
      <c r="A92" s="268">
        <v>602.90070000000003</v>
      </c>
      <c r="B92" s="1063" t="s">
        <v>372</v>
      </c>
      <c r="C92" s="961"/>
      <c r="D92" s="961"/>
      <c r="E92" s="1083"/>
      <c r="F92" s="1083"/>
      <c r="G92" s="961"/>
      <c r="H92" s="961"/>
      <c r="I92" s="961"/>
      <c r="J92" s="961"/>
      <c r="K92" s="961"/>
      <c r="M92">
        <f t="shared" si="47"/>
        <v>6029007</v>
      </c>
      <c r="N92" s="1122" t="str">
        <f t="shared" si="48"/>
        <v>Shpenzime per pjesmarrje ne konferenca</v>
      </c>
      <c r="O92" s="959">
        <f t="shared" si="49"/>
        <v>0</v>
      </c>
      <c r="Q92">
        <f t="shared" si="42"/>
        <v>0</v>
      </c>
      <c r="R92" s="959">
        <f t="shared" si="50"/>
        <v>0</v>
      </c>
      <c r="V92" s="959">
        <f t="shared" si="43"/>
        <v>0</v>
      </c>
      <c r="W92" s="959">
        <f t="shared" si="44"/>
        <v>0</v>
      </c>
      <c r="AC92" s="959">
        <v>200000</v>
      </c>
      <c r="AD92" s="959">
        <f t="shared" si="54"/>
        <v>0</v>
      </c>
      <c r="AE92" s="959">
        <f t="shared" si="54"/>
        <v>200000</v>
      </c>
      <c r="AF92" s="1097">
        <f t="shared" si="55"/>
        <v>0</v>
      </c>
      <c r="AG92" s="1097">
        <f t="shared" si="55"/>
        <v>200</v>
      </c>
      <c r="AH92" s="1097">
        <f t="shared" si="56"/>
        <v>0</v>
      </c>
      <c r="AI92" s="1097">
        <f t="shared" si="56"/>
        <v>-200</v>
      </c>
      <c r="AJ92">
        <f t="shared" si="53"/>
        <v>0</v>
      </c>
      <c r="AK92">
        <f t="shared" si="53"/>
        <v>-200000</v>
      </c>
      <c r="AL92" s="1099">
        <f t="shared" si="45"/>
        <v>0</v>
      </c>
      <c r="AM92" s="1099">
        <f t="shared" si="45"/>
        <v>-200</v>
      </c>
    </row>
    <row r="93" spans="1:39" ht="15" customHeight="1">
      <c r="A93" s="269">
        <v>602.9008</v>
      </c>
      <c r="B93" s="1063" t="s">
        <v>373</v>
      </c>
      <c r="C93" s="961">
        <v>15</v>
      </c>
      <c r="D93" s="961"/>
      <c r="E93" s="1083">
        <v>15</v>
      </c>
      <c r="F93" s="1083"/>
      <c r="G93" s="961">
        <v>15</v>
      </c>
      <c r="H93" s="961">
        <v>15</v>
      </c>
      <c r="I93" s="961"/>
      <c r="J93" s="961">
        <v>15</v>
      </c>
      <c r="K93" s="961">
        <v>15</v>
      </c>
      <c r="M93">
        <f t="shared" si="47"/>
        <v>6029008</v>
      </c>
      <c r="N93" s="1122" t="str">
        <f t="shared" si="48"/>
        <v>Shpenzime per tatime &amp; taksa te paguara nga institucioni</v>
      </c>
      <c r="O93" s="959">
        <f t="shared" si="49"/>
        <v>15000</v>
      </c>
      <c r="Q93">
        <f t="shared" si="42"/>
        <v>1</v>
      </c>
      <c r="R93" s="959">
        <f t="shared" si="50"/>
        <v>15</v>
      </c>
      <c r="V93" s="959">
        <f t="shared" si="43"/>
        <v>15</v>
      </c>
      <c r="W93" s="959">
        <f t="shared" si="44"/>
        <v>15</v>
      </c>
      <c r="AD93" s="959">
        <f t="shared" si="54"/>
        <v>0</v>
      </c>
      <c r="AE93" s="959">
        <f t="shared" si="54"/>
        <v>0</v>
      </c>
      <c r="AF93" s="1097">
        <f t="shared" si="55"/>
        <v>0</v>
      </c>
      <c r="AG93" s="1097">
        <f t="shared" si="55"/>
        <v>0</v>
      </c>
      <c r="AH93" s="1097">
        <f t="shared" si="56"/>
        <v>15</v>
      </c>
      <c r="AI93" s="1097">
        <f t="shared" si="56"/>
        <v>0</v>
      </c>
      <c r="AJ93">
        <f t="shared" si="53"/>
        <v>15000</v>
      </c>
      <c r="AK93">
        <f t="shared" si="53"/>
        <v>0</v>
      </c>
      <c r="AL93" s="1099">
        <f t="shared" si="45"/>
        <v>15</v>
      </c>
      <c r="AM93" s="1099">
        <f t="shared" si="45"/>
        <v>0</v>
      </c>
    </row>
    <row r="94" spans="1:39" ht="15" customHeight="1">
      <c r="A94" s="269">
        <v>602.90089999999998</v>
      </c>
      <c r="B94" s="1063" t="s">
        <v>374</v>
      </c>
      <c r="C94" s="961"/>
      <c r="D94" s="961"/>
      <c r="E94" s="1083"/>
      <c r="F94" s="1083"/>
      <c r="G94" s="961"/>
      <c r="H94" s="961"/>
      <c r="I94" s="961"/>
      <c r="J94" s="961"/>
      <c r="K94" s="961"/>
      <c r="M94">
        <f t="shared" si="47"/>
        <v>6029009</v>
      </c>
      <c r="N94" s="1122" t="str">
        <f t="shared" si="48"/>
        <v>Shpenzime per terheqjen e limitit te arkes</v>
      </c>
      <c r="O94" s="959">
        <f t="shared" si="49"/>
        <v>0</v>
      </c>
      <c r="Q94">
        <f t="shared" si="42"/>
        <v>0</v>
      </c>
      <c r="R94" s="959">
        <f t="shared" si="50"/>
        <v>0</v>
      </c>
      <c r="V94" s="959">
        <f t="shared" si="43"/>
        <v>0</v>
      </c>
      <c r="W94" s="959">
        <f t="shared" si="44"/>
        <v>0</v>
      </c>
      <c r="AD94" s="959">
        <f t="shared" si="54"/>
        <v>0</v>
      </c>
      <c r="AE94" s="959">
        <f t="shared" si="54"/>
        <v>0</v>
      </c>
      <c r="AF94" s="1097">
        <f t="shared" si="55"/>
        <v>0</v>
      </c>
      <c r="AG94" s="1097">
        <f t="shared" si="55"/>
        <v>0</v>
      </c>
      <c r="AH94" s="1097">
        <f t="shared" si="56"/>
        <v>0</v>
      </c>
      <c r="AI94" s="1097">
        <f t="shared" si="56"/>
        <v>0</v>
      </c>
      <c r="AJ94">
        <f t="shared" si="53"/>
        <v>0</v>
      </c>
      <c r="AK94">
        <f t="shared" si="53"/>
        <v>0</v>
      </c>
      <c r="AL94" s="1099">
        <f t="shared" si="45"/>
        <v>0</v>
      </c>
      <c r="AM94" s="1099">
        <f t="shared" si="45"/>
        <v>0</v>
      </c>
    </row>
    <row r="95" spans="1:39" ht="15" customHeight="1" thickBot="1">
      <c r="A95" s="269">
        <v>602.90989999999999</v>
      </c>
      <c r="B95" s="1063" t="s">
        <v>691</v>
      </c>
      <c r="C95" s="961"/>
      <c r="D95" s="961"/>
      <c r="E95" s="1083"/>
      <c r="F95" s="1083"/>
      <c r="G95" s="961"/>
      <c r="H95" s="961"/>
      <c r="I95" s="961"/>
      <c r="J95" s="961"/>
      <c r="K95" s="961"/>
      <c r="M95">
        <f t="shared" si="47"/>
        <v>6029099</v>
      </c>
      <c r="N95" s="1122" t="str">
        <f t="shared" si="48"/>
        <v>Shpenzime per te tjera materiale dhe sherbime operative</v>
      </c>
      <c r="O95" s="959">
        <f t="shared" si="49"/>
        <v>0</v>
      </c>
      <c r="Q95">
        <f t="shared" si="42"/>
        <v>0</v>
      </c>
      <c r="R95" s="959">
        <f t="shared" si="50"/>
        <v>0</v>
      </c>
      <c r="V95" s="959">
        <f t="shared" si="43"/>
        <v>0</v>
      </c>
      <c r="W95" s="959">
        <f t="shared" si="44"/>
        <v>0</v>
      </c>
      <c r="X95" s="959">
        <v>0</v>
      </c>
      <c r="Y95" s="959">
        <v>1661769</v>
      </c>
      <c r="AC95" s="959">
        <v>538231</v>
      </c>
      <c r="AD95" s="959">
        <f t="shared" si="54"/>
        <v>0</v>
      </c>
      <c r="AE95" s="959">
        <f t="shared" si="54"/>
        <v>2200000</v>
      </c>
      <c r="AF95" s="1097">
        <f t="shared" si="55"/>
        <v>0</v>
      </c>
      <c r="AG95" s="1097">
        <f t="shared" si="55"/>
        <v>2200</v>
      </c>
      <c r="AH95" s="1097">
        <f t="shared" si="56"/>
        <v>0</v>
      </c>
      <c r="AI95" s="1097">
        <f t="shared" si="56"/>
        <v>-2200</v>
      </c>
      <c r="AJ95">
        <f t="shared" si="53"/>
        <v>0</v>
      </c>
      <c r="AK95">
        <f t="shared" si="53"/>
        <v>-2200000</v>
      </c>
      <c r="AL95" s="1099">
        <f t="shared" si="45"/>
        <v>0</v>
      </c>
      <c r="AM95" s="1099">
        <f t="shared" si="45"/>
        <v>-2200</v>
      </c>
    </row>
    <row r="96" spans="1:39" s="226" customFormat="1" ht="15" customHeight="1" thickBot="1">
      <c r="A96" s="1167"/>
      <c r="B96" s="1168" t="s">
        <v>85</v>
      </c>
      <c r="C96" s="1169">
        <f t="shared" ref="C96:K96" si="57">SUM(C17,C24,C37,C52,C57,C60,C69,C75,C82,C85)</f>
        <v>836</v>
      </c>
      <c r="D96" s="1169">
        <f t="shared" si="57"/>
        <v>0</v>
      </c>
      <c r="E96" s="1169">
        <f t="shared" si="57"/>
        <v>3070</v>
      </c>
      <c r="F96" s="1169">
        <f t="shared" si="57"/>
        <v>0</v>
      </c>
      <c r="G96" s="1169">
        <f t="shared" si="57"/>
        <v>4165</v>
      </c>
      <c r="H96" s="1169">
        <f t="shared" si="57"/>
        <v>4165</v>
      </c>
      <c r="I96" s="1169">
        <f t="shared" si="57"/>
        <v>0</v>
      </c>
      <c r="J96" s="1169">
        <f t="shared" si="57"/>
        <v>5185</v>
      </c>
      <c r="K96" s="1169">
        <f t="shared" si="57"/>
        <v>5185</v>
      </c>
      <c r="M96">
        <f t="shared" si="47"/>
        <v>0</v>
      </c>
      <c r="N96" s="1123"/>
      <c r="O96" s="959">
        <f t="shared" si="49"/>
        <v>4165000</v>
      </c>
      <c r="P96" s="226">
        <v>1</v>
      </c>
      <c r="Q96">
        <f t="shared" si="42"/>
        <v>1</v>
      </c>
      <c r="V96" s="959">
        <f t="shared" si="43"/>
        <v>4165</v>
      </c>
      <c r="W96" s="959">
        <f>SUM(E96:F96)</f>
        <v>3070</v>
      </c>
      <c r="X96" s="959">
        <f t="shared" ref="X96:AH96" si="58">SUM(X17,X24,X37,X52,X57,X60,X69,X75,X82,X85)</f>
        <v>3911280</v>
      </c>
      <c r="Y96" s="959">
        <f t="shared" si="58"/>
        <v>41334444</v>
      </c>
      <c r="Z96" s="959">
        <f t="shared" si="58"/>
        <v>0</v>
      </c>
      <c r="AA96" s="959">
        <f t="shared" si="58"/>
        <v>16359713</v>
      </c>
      <c r="AB96" s="959">
        <f t="shared" si="58"/>
        <v>8088720</v>
      </c>
      <c r="AC96" s="959">
        <f t="shared" si="58"/>
        <v>21329843</v>
      </c>
      <c r="AD96" s="959">
        <f t="shared" si="58"/>
        <v>12000000</v>
      </c>
      <c r="AE96" s="959">
        <f t="shared" si="58"/>
        <v>79024000</v>
      </c>
      <c r="AF96" s="1097">
        <f t="shared" si="58"/>
        <v>12000</v>
      </c>
      <c r="AG96" s="1097">
        <f t="shared" si="58"/>
        <v>79024</v>
      </c>
      <c r="AH96" s="1097">
        <f t="shared" si="58"/>
        <v>-8930</v>
      </c>
      <c r="AI96" s="1097">
        <f>SUM(AI17,AI24,AI37,AI52,AI57,AI60,AI69,AI75,AI82,AI85)</f>
        <v>-79024</v>
      </c>
      <c r="AJ96">
        <f t="shared" si="53"/>
        <v>-8930000</v>
      </c>
      <c r="AK96">
        <f t="shared" si="53"/>
        <v>-79024000</v>
      </c>
      <c r="AL96" s="1099">
        <f t="shared" si="45"/>
        <v>-8930</v>
      </c>
      <c r="AM96" s="1099">
        <f t="shared" si="45"/>
        <v>-79024</v>
      </c>
    </row>
    <row r="98" spans="1:9" ht="12.75" customHeight="1">
      <c r="A98" s="1639" t="s">
        <v>146</v>
      </c>
      <c r="B98" s="172" t="s">
        <v>1053</v>
      </c>
      <c r="C98" s="173">
        <f>'Te dhena fillesat 2022'!$D$11</f>
        <v>0</v>
      </c>
      <c r="D98" s="174"/>
      <c r="E98" s="959"/>
      <c r="F98" s="1639" t="s">
        <v>240</v>
      </c>
      <c r="G98" s="172" t="s">
        <v>144</v>
      </c>
      <c r="H98" s="173" t="s">
        <v>1045</v>
      </c>
      <c r="I98" s="174"/>
    </row>
    <row r="99" spans="1:9">
      <c r="A99" s="1640"/>
      <c r="B99" s="172" t="s">
        <v>239</v>
      </c>
      <c r="C99" s="173"/>
      <c r="D99" s="174"/>
      <c r="E99" s="959"/>
      <c r="F99" s="1640"/>
      <c r="G99" s="172" t="s">
        <v>239</v>
      </c>
      <c r="H99" s="173"/>
      <c r="I99" s="174"/>
    </row>
    <row r="100" spans="1:9" ht="24.75" customHeight="1">
      <c r="A100" s="1641"/>
      <c r="B100" s="172" t="s">
        <v>145</v>
      </c>
      <c r="C100" s="175"/>
      <c r="D100" s="176"/>
      <c r="F100" s="1641"/>
      <c r="G100" s="172" t="s">
        <v>145</v>
      </c>
      <c r="H100" s="175"/>
      <c r="I100" s="176"/>
    </row>
    <row r="101" spans="1:9">
      <c r="E101" s="959"/>
      <c r="F101" s="959"/>
    </row>
    <row r="103" spans="1:9">
      <c r="I103" s="959"/>
    </row>
    <row r="104" spans="1:9">
      <c r="I104" s="959"/>
    </row>
  </sheetData>
  <sheetProtection autoFilter="0"/>
  <protectedRanges>
    <protectedRange sqref="C53:K56 C58:K59 C70:K74 C76:K81 C83:K84 C18:K23 C25:K36 C38:K51 C61:K68 C86:K95" name="Range1"/>
    <protectedRange sqref="C99:D100 H98:I100 D98" name="Range1_1"/>
    <protectedRange sqref="C98" name="Range5_1"/>
  </protectedRanges>
  <autoFilter ref="A15:U96"/>
  <mergeCells count="5">
    <mergeCell ref="A98:A100"/>
    <mergeCell ref="F98:F100"/>
    <mergeCell ref="J12:K12"/>
    <mergeCell ref="E13:F13"/>
    <mergeCell ref="G13:I13"/>
  </mergeCells>
  <pageMargins left="0.25" right="0.25" top="0.75" bottom="0.75" header="0.3" footer="0.3"/>
  <pageSetup scale="38" orientation="portrait" r:id="rId1"/>
  <headerFooter alignWithMargins="0">
    <oddFooter>&amp;R&amp;P</oddFooter>
  </headerFooter>
  <rowBreaks count="1" manualBreakCount="1">
    <brk id="10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H58"/>
  <sheetViews>
    <sheetView showGridLines="0" view="pageBreakPreview" topLeftCell="A4" zoomScale="90" zoomScaleSheetLayoutView="90" workbookViewId="0">
      <selection activeCell="G24" sqref="G24"/>
    </sheetView>
  </sheetViews>
  <sheetFormatPr defaultRowHeight="12.75"/>
  <cols>
    <col min="1" max="1" width="8.85546875" customWidth="1"/>
    <col min="2" max="2" width="37.28515625" customWidth="1"/>
    <col min="3" max="3" width="20" customWidth="1"/>
    <col min="4" max="4" width="14.85546875" customWidth="1"/>
    <col min="5" max="5" width="19.7109375" customWidth="1"/>
    <col min="6" max="6" width="16.28515625" customWidth="1"/>
    <col min="7" max="7" width="15.5703125" customWidth="1"/>
    <col min="8" max="8" width="18.28515625" customWidth="1"/>
  </cols>
  <sheetData>
    <row r="1" spans="1:8" ht="13.5" thickBot="1">
      <c r="A1" s="1483" t="s">
        <v>236</v>
      </c>
    </row>
    <row r="2" spans="1:8">
      <c r="A2" s="166" t="s">
        <v>143</v>
      </c>
      <c r="B2" s="167"/>
      <c r="C2" s="167"/>
      <c r="D2" s="167"/>
      <c r="E2" s="167"/>
      <c r="F2" s="49"/>
      <c r="G2" s="49"/>
      <c r="H2" s="293"/>
    </row>
    <row r="3" spans="1:8" ht="13.5">
      <c r="A3" s="51"/>
      <c r="B3" s="31"/>
      <c r="C3" s="40"/>
      <c r="D3" s="40"/>
      <c r="E3" s="40"/>
      <c r="F3" s="40"/>
      <c r="G3" s="40"/>
      <c r="H3" s="294"/>
    </row>
    <row r="4" spans="1:8" ht="13.5">
      <c r="A4" s="51"/>
      <c r="B4" s="31"/>
      <c r="C4" s="278"/>
      <c r="D4" s="100" t="s">
        <v>74</v>
      </c>
      <c r="E4" s="101" t="s">
        <v>72</v>
      </c>
      <c r="G4" s="40"/>
      <c r="H4" s="248" t="str">
        <f>CONCATENATE("PBA"," ",VALUE('Te dhena fillesat 2022'!$D$4)," ","-"," ",VALUE('Te dhena fillesat 2022'!$D$4+2))</f>
        <v>PBA 2022 - 2024</v>
      </c>
    </row>
    <row r="5" spans="1:8" ht="13.5">
      <c r="A5" s="52"/>
      <c r="B5" s="29"/>
      <c r="C5" s="279" t="s">
        <v>222</v>
      </c>
      <c r="D5" s="1484" t="str">
        <f>CONCATENATE('Te dhena fillesat 2022'!$C$7)</f>
        <v>1011205</v>
      </c>
      <c r="E5" s="1485" t="str">
        <f>CONCATENATE('Te dhena fillesat 2022'!$D$7)</f>
        <v>Agjensia e Sherbimeve të Sportit</v>
      </c>
      <c r="G5" s="40"/>
      <c r="H5" s="735" t="s">
        <v>221</v>
      </c>
    </row>
    <row r="6" spans="1:8" ht="13.5">
      <c r="A6" s="53"/>
      <c r="B6" s="28"/>
      <c r="C6" s="28"/>
      <c r="D6" s="28"/>
      <c r="E6" s="28"/>
      <c r="F6" s="28"/>
      <c r="G6" s="40"/>
      <c r="H6" s="273" t="s">
        <v>219</v>
      </c>
    </row>
    <row r="7" spans="1:8" ht="13.5" thickBot="1">
      <c r="A7" s="54"/>
      <c r="B7" s="47"/>
      <c r="C7" s="48"/>
      <c r="D7" s="48"/>
      <c r="E7" s="48"/>
      <c r="F7" s="47"/>
      <c r="G7" s="47"/>
      <c r="H7" s="295"/>
    </row>
    <row r="8" spans="1:8" ht="8.25" customHeight="1" thickBot="1">
      <c r="A8" s="755"/>
      <c r="B8" s="756"/>
      <c r="C8" s="755"/>
      <c r="D8" s="755"/>
      <c r="E8" s="755"/>
      <c r="F8" s="756"/>
      <c r="G8" s="756"/>
      <c r="H8" s="756"/>
    </row>
    <row r="9" spans="1:8">
      <c r="A9" s="58"/>
      <c r="B9" s="46"/>
      <c r="C9" s="46"/>
      <c r="D9" s="46"/>
      <c r="E9" s="46"/>
      <c r="F9" s="46"/>
      <c r="G9" s="46"/>
      <c r="H9" s="59"/>
    </row>
    <row r="10" spans="1:8" ht="13.5">
      <c r="A10" s="53"/>
      <c r="B10" s="31"/>
      <c r="C10" s="28"/>
      <c r="D10" s="28"/>
      <c r="E10" s="28" t="s">
        <v>82</v>
      </c>
      <c r="F10" s="31" t="s">
        <v>81</v>
      </c>
      <c r="G10" s="31"/>
      <c r="H10" s="296"/>
    </row>
    <row r="11" spans="1:8" ht="13.5" thickBot="1">
      <c r="A11" s="61"/>
      <c r="B11" s="62"/>
      <c r="C11" s="62"/>
      <c r="D11" s="62"/>
      <c r="E11" s="62"/>
      <c r="F11" s="62"/>
      <c r="G11" s="62"/>
      <c r="H11" s="63"/>
    </row>
    <row r="12" spans="1:8">
      <c r="A12" s="41"/>
      <c r="B12" s="42"/>
      <c r="C12" s="171"/>
      <c r="D12" s="171"/>
      <c r="E12" s="280"/>
      <c r="F12" s="1774" t="str">
        <f>CONCATENATE("Parashikimi për vitin"," ",VALUE('Te dhena fillesat 2022'!$D$4))</f>
        <v>Parashikimi për vitin 2022</v>
      </c>
      <c r="G12" s="1774" t="str">
        <f>CONCATENATE("Parashikimi për vitin"," ",VALUE('Te dhena fillesat 2022'!$D$4+1))</f>
        <v>Parashikimi për vitin 2023</v>
      </c>
      <c r="H12" s="1774" t="str">
        <f>CONCATENATE("Parashikimi për vitin"," ",VALUE('Te dhena fillesat 2022'!$D$4+2))</f>
        <v>Parashikimi për vitin 2024</v>
      </c>
    </row>
    <row r="13" spans="1:8">
      <c r="A13" s="44" t="s">
        <v>78</v>
      </c>
      <c r="B13" s="34" t="s">
        <v>104</v>
      </c>
      <c r="C13" s="283" t="s">
        <v>382</v>
      </c>
      <c r="D13" s="281" t="str">
        <f>CONCATENATE("Fakti i vitit"," ",VALUE('Te dhena fillesat 2022'!$D$4-2))</f>
        <v>Fakti i vitit 2020</v>
      </c>
      <c r="E13" s="246" t="str">
        <f>CONCATENATE("I pritshmi i vitit"," ",VALUE('Te dhena fillesat 2022'!$D$4-1))</f>
        <v>I pritshmi i vitit 2021</v>
      </c>
      <c r="F13" s="1775"/>
      <c r="G13" s="1775"/>
      <c r="H13" s="1775"/>
    </row>
    <row r="14" spans="1:8">
      <c r="A14" s="56"/>
      <c r="B14" s="27"/>
      <c r="C14" s="23" t="s">
        <v>399</v>
      </c>
      <c r="D14" s="282" t="s">
        <v>73</v>
      </c>
      <c r="E14" s="168" t="s">
        <v>73</v>
      </c>
      <c r="F14" s="21" t="s">
        <v>73</v>
      </c>
      <c r="G14" s="23" t="s">
        <v>73</v>
      </c>
      <c r="H14" s="64" t="s">
        <v>73</v>
      </c>
    </row>
    <row r="15" spans="1:8" ht="13.5" thickBot="1">
      <c r="A15" s="243">
        <v>1</v>
      </c>
      <c r="B15" s="65">
        <v>2</v>
      </c>
      <c r="C15" s="66">
        <v>3</v>
      </c>
      <c r="D15" s="286">
        <v>4</v>
      </c>
      <c r="E15" s="287">
        <v>5</v>
      </c>
      <c r="F15" s="241">
        <v>6</v>
      </c>
      <c r="G15" s="287">
        <v>7</v>
      </c>
      <c r="H15" s="288">
        <v>8</v>
      </c>
    </row>
    <row r="16" spans="1:8">
      <c r="A16" s="290" t="s">
        <v>210</v>
      </c>
      <c r="B16" s="291" t="s">
        <v>97</v>
      </c>
      <c r="C16" s="736">
        <f t="shared" ref="C16:H16" si="0">SUM(C17,C25,C26,C31,C32)</f>
        <v>0</v>
      </c>
      <c r="D16" s="736">
        <f t="shared" si="0"/>
        <v>0</v>
      </c>
      <c r="E16" s="736">
        <f t="shared" si="0"/>
        <v>0</v>
      </c>
      <c r="F16" s="736">
        <f t="shared" si="0"/>
        <v>0</v>
      </c>
      <c r="G16" s="736">
        <f t="shared" si="0"/>
        <v>0</v>
      </c>
      <c r="H16" s="736">
        <f t="shared" si="0"/>
        <v>0</v>
      </c>
    </row>
    <row r="17" spans="1:8" s="226" customFormat="1">
      <c r="A17" s="285">
        <v>603</v>
      </c>
      <c r="B17" s="285" t="s">
        <v>383</v>
      </c>
      <c r="C17" s="739">
        <f t="shared" ref="C17:H17" si="1">SUM(C18:C24)</f>
        <v>0</v>
      </c>
      <c r="D17" s="739">
        <f t="shared" si="1"/>
        <v>0</v>
      </c>
      <c r="E17" s="739">
        <f t="shared" si="1"/>
        <v>0</v>
      </c>
      <c r="F17" s="739">
        <f t="shared" si="1"/>
        <v>0</v>
      </c>
      <c r="G17" s="739">
        <f t="shared" si="1"/>
        <v>0</v>
      </c>
      <c r="H17" s="739">
        <f t="shared" si="1"/>
        <v>0</v>
      </c>
    </row>
    <row r="18" spans="1:8">
      <c r="A18" s="741">
        <v>603.01</v>
      </c>
      <c r="B18" s="742" t="s">
        <v>387</v>
      </c>
      <c r="C18" s="743"/>
      <c r="D18" s="743"/>
      <c r="E18" s="743"/>
      <c r="F18" s="743"/>
      <c r="G18" s="743"/>
      <c r="H18" s="743"/>
    </row>
    <row r="19" spans="1:8">
      <c r="A19" s="744">
        <v>603.02</v>
      </c>
      <c r="B19" s="745" t="s">
        <v>388</v>
      </c>
      <c r="C19" s="746"/>
      <c r="D19" s="746"/>
      <c r="E19" s="746"/>
      <c r="F19" s="746"/>
      <c r="G19" s="746"/>
      <c r="H19" s="746"/>
    </row>
    <row r="20" spans="1:8">
      <c r="A20" s="744">
        <v>603.03</v>
      </c>
      <c r="B20" s="745" t="s">
        <v>386</v>
      </c>
      <c r="C20" s="746"/>
      <c r="D20" s="746"/>
      <c r="E20" s="746"/>
      <c r="F20" s="746"/>
      <c r="G20" s="746"/>
      <c r="H20" s="746"/>
    </row>
    <row r="21" spans="1:8">
      <c r="A21" s="744">
        <v>603.04</v>
      </c>
      <c r="B21" s="745" t="s">
        <v>384</v>
      </c>
      <c r="C21" s="747"/>
      <c r="D21" s="747"/>
      <c r="E21" s="747"/>
      <c r="F21" s="747"/>
      <c r="G21" s="747"/>
      <c r="H21" s="747"/>
    </row>
    <row r="22" spans="1:8">
      <c r="A22" s="744">
        <v>603.04999999999995</v>
      </c>
      <c r="B22" s="745" t="s">
        <v>385</v>
      </c>
      <c r="C22" s="746"/>
      <c r="D22" s="746"/>
      <c r="E22" s="746"/>
      <c r="F22" s="746"/>
      <c r="G22" s="746"/>
      <c r="H22" s="746"/>
    </row>
    <row r="23" spans="1:8">
      <c r="A23" s="744">
        <v>603.05999999999995</v>
      </c>
      <c r="B23" s="745" t="s">
        <v>389</v>
      </c>
      <c r="C23" s="746"/>
      <c r="D23" s="746"/>
      <c r="E23" s="746"/>
      <c r="F23" s="746"/>
      <c r="G23" s="746"/>
      <c r="H23" s="746"/>
    </row>
    <row r="24" spans="1:8">
      <c r="A24" s="748">
        <v>603.09</v>
      </c>
      <c r="B24" s="749" t="s">
        <v>390</v>
      </c>
      <c r="C24" s="750"/>
      <c r="D24" s="750"/>
      <c r="E24" s="750"/>
      <c r="F24" s="750"/>
      <c r="G24" s="750"/>
      <c r="H24" s="750"/>
    </row>
    <row r="25" spans="1:8" s="226" customFormat="1">
      <c r="A25" s="285">
        <v>603.1</v>
      </c>
      <c r="B25" s="285" t="s">
        <v>391</v>
      </c>
      <c r="C25" s="739"/>
      <c r="D25" s="739"/>
      <c r="E25" s="739"/>
      <c r="F25" s="739"/>
      <c r="G25" s="739"/>
      <c r="H25" s="739"/>
    </row>
    <row r="26" spans="1:8" s="226" customFormat="1">
      <c r="A26" s="285">
        <v>603.20000000000005</v>
      </c>
      <c r="B26" s="285" t="s">
        <v>398</v>
      </c>
      <c r="C26" s="737">
        <f t="shared" ref="C26:H26" si="2">SUM(C27:C31)</f>
        <v>0</v>
      </c>
      <c r="D26" s="737">
        <f t="shared" si="2"/>
        <v>0</v>
      </c>
      <c r="E26" s="737">
        <f t="shared" si="2"/>
        <v>0</v>
      </c>
      <c r="F26" s="737">
        <f t="shared" si="2"/>
        <v>0</v>
      </c>
      <c r="G26" s="737">
        <f t="shared" si="2"/>
        <v>0</v>
      </c>
      <c r="H26" s="737">
        <f t="shared" si="2"/>
        <v>0</v>
      </c>
    </row>
    <row r="27" spans="1:8">
      <c r="A27" s="751">
        <v>603.20039999999995</v>
      </c>
      <c r="B27" s="742" t="s">
        <v>392</v>
      </c>
      <c r="C27" s="743"/>
      <c r="D27" s="743"/>
      <c r="E27" s="743"/>
      <c r="F27" s="743"/>
      <c r="G27" s="743"/>
      <c r="H27" s="743"/>
    </row>
    <row r="28" spans="1:8">
      <c r="A28" s="752">
        <v>603.20050000000003</v>
      </c>
      <c r="B28" s="745" t="s">
        <v>397</v>
      </c>
      <c r="C28" s="746"/>
      <c r="D28" s="746"/>
      <c r="E28" s="746"/>
      <c r="F28" s="746"/>
      <c r="G28" s="746"/>
      <c r="H28" s="746"/>
    </row>
    <row r="29" spans="1:8">
      <c r="A29" s="752">
        <v>603.20060000000001</v>
      </c>
      <c r="B29" s="745" t="s">
        <v>393</v>
      </c>
      <c r="C29" s="746"/>
      <c r="D29" s="746"/>
      <c r="E29" s="746"/>
      <c r="F29" s="746"/>
      <c r="G29" s="746"/>
      <c r="H29" s="746"/>
    </row>
    <row r="30" spans="1:8">
      <c r="A30" s="752">
        <v>603.20989999999995</v>
      </c>
      <c r="B30" s="745" t="s">
        <v>394</v>
      </c>
      <c r="C30" s="746"/>
      <c r="D30" s="746"/>
      <c r="E30" s="746"/>
      <c r="F30" s="746"/>
      <c r="G30" s="746"/>
      <c r="H30" s="746"/>
    </row>
    <row r="31" spans="1:8" s="226" customFormat="1">
      <c r="A31" s="753">
        <v>603.29999999999995</v>
      </c>
      <c r="B31" s="753" t="s">
        <v>395</v>
      </c>
      <c r="C31" s="754"/>
      <c r="D31" s="754"/>
      <c r="E31" s="754"/>
      <c r="F31" s="754"/>
      <c r="G31" s="754"/>
      <c r="H31" s="754"/>
    </row>
    <row r="32" spans="1:8" s="226" customFormat="1" ht="13.5" thickBot="1">
      <c r="A32" s="292">
        <v>603.9</v>
      </c>
      <c r="B32" s="292" t="s">
        <v>396</v>
      </c>
      <c r="C32" s="740"/>
      <c r="D32" s="740"/>
      <c r="E32" s="740"/>
      <c r="F32" s="740"/>
      <c r="G32" s="740"/>
      <c r="H32" s="740"/>
    </row>
    <row r="33" spans="1:8" s="226" customFormat="1" ht="14.25" thickBot="1">
      <c r="A33" s="261"/>
      <c r="B33" s="289" t="s">
        <v>85</v>
      </c>
      <c r="C33" s="738">
        <f t="shared" ref="C33:H33" si="3">SUM(C16)</f>
        <v>0</v>
      </c>
      <c r="D33" s="738">
        <f t="shared" si="3"/>
        <v>0</v>
      </c>
      <c r="E33" s="738">
        <f t="shared" si="3"/>
        <v>0</v>
      </c>
      <c r="F33" s="738">
        <f t="shared" si="3"/>
        <v>0</v>
      </c>
      <c r="G33" s="738">
        <f t="shared" si="3"/>
        <v>0</v>
      </c>
      <c r="H33" s="738">
        <f t="shared" si="3"/>
        <v>0</v>
      </c>
    </row>
    <row r="34" spans="1:8">
      <c r="A34" s="1"/>
      <c r="B34" s="1"/>
      <c r="C34" s="2"/>
      <c r="D34" s="2"/>
      <c r="E34" s="1"/>
      <c r="F34" s="1"/>
      <c r="G34" s="1"/>
      <c r="H34" s="1"/>
    </row>
    <row r="35" spans="1:8">
      <c r="A35" s="30"/>
      <c r="B35" s="1635" t="s">
        <v>146</v>
      </c>
      <c r="C35" s="172" t="s">
        <v>144</v>
      </c>
      <c r="D35" s="173">
        <f>'Te dhena fillesat 2022'!$D$11</f>
        <v>0</v>
      </c>
      <c r="E35" s="30"/>
      <c r="F35" s="1638" t="s">
        <v>240</v>
      </c>
      <c r="G35" s="172" t="s">
        <v>144</v>
      </c>
      <c r="H35" s="173">
        <f>'Te dhena fillesat 2022'!$D$13</f>
        <v>0</v>
      </c>
    </row>
    <row r="36" spans="1:8" ht="13.5">
      <c r="A36" s="28"/>
      <c r="B36" s="1767"/>
      <c r="C36" s="172" t="s">
        <v>239</v>
      </c>
      <c r="D36" s="172"/>
      <c r="F36" s="1638"/>
      <c r="G36" s="172" t="s">
        <v>239</v>
      </c>
      <c r="H36" s="174"/>
    </row>
    <row r="37" spans="1:8">
      <c r="A37" s="30"/>
      <c r="B37" s="1768"/>
      <c r="C37" s="172" t="s">
        <v>145</v>
      </c>
      <c r="D37" s="245"/>
      <c r="F37" s="1638"/>
      <c r="G37" s="172" t="s">
        <v>145</v>
      </c>
      <c r="H37" s="176"/>
    </row>
    <row r="38" spans="1:8" ht="11.25" customHeight="1">
      <c r="A38" s="104" t="s">
        <v>401</v>
      </c>
      <c r="H38" s="33"/>
    </row>
    <row r="39" spans="1:8" ht="12.75" customHeight="1">
      <c r="A39" s="104" t="s">
        <v>400</v>
      </c>
    </row>
    <row r="40" spans="1:8">
      <c r="A40" s="27"/>
    </row>
    <row r="41" spans="1:8">
      <c r="A41" s="34"/>
    </row>
    <row r="42" spans="1:8">
      <c r="A42" s="35"/>
    </row>
    <row r="43" spans="1:8">
      <c r="A43" s="35"/>
    </row>
    <row r="44" spans="1:8">
      <c r="A44" s="35"/>
    </row>
    <row r="45" spans="1:8">
      <c r="A45" s="35"/>
    </row>
    <row r="46" spans="1:8">
      <c r="A46" s="35"/>
      <c r="B46" s="35"/>
      <c r="C46" s="36"/>
      <c r="D46" s="36"/>
      <c r="E46" s="26"/>
      <c r="F46" s="26"/>
      <c r="G46" s="26"/>
      <c r="H46" s="26"/>
    </row>
    <row r="47" spans="1:8">
      <c r="A47" s="35"/>
      <c r="B47" s="35"/>
      <c r="C47" s="36"/>
      <c r="D47" s="36"/>
      <c r="E47" s="26"/>
      <c r="F47" s="26"/>
      <c r="G47" s="26"/>
      <c r="H47" s="26"/>
    </row>
    <row r="48" spans="1:8">
      <c r="A48" s="35"/>
      <c r="B48" s="35"/>
      <c r="C48" s="36"/>
      <c r="D48" s="36"/>
      <c r="E48" s="26"/>
      <c r="F48" s="26"/>
      <c r="G48" s="26"/>
      <c r="H48" s="26"/>
    </row>
    <row r="49" spans="1:8">
      <c r="A49" s="35"/>
      <c r="B49" s="35"/>
      <c r="C49" s="36"/>
      <c r="D49" s="36"/>
      <c r="E49" s="26"/>
      <c r="F49" s="26"/>
      <c r="G49" s="26"/>
      <c r="H49" s="26"/>
    </row>
    <row r="50" spans="1:8">
      <c r="A50" s="35"/>
      <c r="B50" s="35"/>
      <c r="C50" s="36"/>
      <c r="D50" s="36"/>
      <c r="E50" s="26"/>
      <c r="F50" s="26"/>
      <c r="G50" s="26"/>
      <c r="H50" s="26"/>
    </row>
    <row r="51" spans="1:8">
      <c r="A51" s="35"/>
      <c r="B51" s="35"/>
      <c r="C51" s="36"/>
      <c r="D51" s="36"/>
      <c r="E51" s="26"/>
      <c r="F51" s="26"/>
      <c r="G51" s="26"/>
      <c r="H51" s="26"/>
    </row>
    <row r="52" spans="1:8">
      <c r="A52" s="35"/>
      <c r="B52" s="35"/>
      <c r="C52" s="36"/>
      <c r="D52" s="36"/>
      <c r="E52" s="26"/>
      <c r="F52" s="26"/>
      <c r="G52" s="26"/>
      <c r="H52" s="26"/>
    </row>
    <row r="53" spans="1:8">
      <c r="A53" s="35"/>
      <c r="B53" s="35"/>
      <c r="C53" s="36"/>
      <c r="D53" s="36"/>
      <c r="E53" s="26"/>
      <c r="F53" s="26"/>
      <c r="G53" s="26"/>
      <c r="H53" s="26"/>
    </row>
    <row r="54" spans="1:8">
      <c r="A54" s="35"/>
      <c r="B54" s="35"/>
      <c r="C54" s="36"/>
      <c r="D54" s="36"/>
      <c r="E54" s="26"/>
      <c r="F54" s="26"/>
      <c r="G54" s="26"/>
      <c r="H54" s="26"/>
    </row>
    <row r="55" spans="1:8">
      <c r="A55" s="35"/>
      <c r="B55" s="35"/>
      <c r="C55" s="36"/>
      <c r="D55" s="36"/>
      <c r="E55" s="26"/>
      <c r="F55" s="26"/>
      <c r="G55" s="26"/>
      <c r="H55" s="26"/>
    </row>
    <row r="56" spans="1:8">
      <c r="A56" s="35"/>
      <c r="B56" s="35"/>
      <c r="C56" s="36"/>
      <c r="D56" s="36"/>
      <c r="E56" s="26"/>
      <c r="F56" s="26"/>
      <c r="G56" s="26"/>
      <c r="H56" s="26"/>
    </row>
    <row r="57" spans="1:8" ht="13.5">
      <c r="A57" s="37"/>
      <c r="B57" s="38"/>
      <c r="C57" s="39"/>
      <c r="D57" s="39"/>
      <c r="E57" s="26"/>
      <c r="F57" s="26"/>
      <c r="G57" s="26"/>
      <c r="H57" s="26"/>
    </row>
    <row r="58" spans="1:8">
      <c r="A58" s="40"/>
      <c r="B58" s="40"/>
      <c r="C58" s="40"/>
      <c r="D58" s="40"/>
      <c r="E58" s="40"/>
      <c r="F58" s="40"/>
      <c r="G58" s="40"/>
      <c r="H58" s="40"/>
    </row>
  </sheetData>
  <sheetProtection password="CA09" sheet="1"/>
  <protectedRanges>
    <protectedRange sqref="C27:H32 C18:H25 D35:D37 H35:H37" name="Range1"/>
  </protectedRanges>
  <mergeCells count="5">
    <mergeCell ref="F12:F13"/>
    <mergeCell ref="G12:G13"/>
    <mergeCell ref="H12:H13"/>
    <mergeCell ref="B35:B37"/>
    <mergeCell ref="F35:F37"/>
  </mergeCells>
  <printOptions horizontalCentered="1" verticalCentered="1"/>
  <pageMargins left="0" right="0" top="0" bottom="0" header="0.51181102362204722" footer="0.51181102362204722"/>
  <pageSetup paperSize="9" scale="97" orientation="landscape" r:id="rId1"/>
  <headerFooter alignWithMargins="0">
    <oddFooter>&amp;R7.A -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15</vt:i4>
      </vt:variant>
    </vt:vector>
  </HeadingPairs>
  <TitlesOfParts>
    <vt:vector size="33" baseType="lpstr">
      <vt:lpstr>Te dhena fillesat 2022</vt:lpstr>
      <vt:lpstr>Tab_1_Të_Ardhura 2022-2024</vt:lpstr>
      <vt:lpstr>Llog_ardhurave 2022-2024</vt:lpstr>
      <vt:lpstr>P2. Buxheti 2022_2024</vt:lpstr>
      <vt:lpstr>P2. Permbledhese e pagave</vt:lpstr>
      <vt:lpstr>Pagat databaze </vt:lpstr>
      <vt:lpstr>P 4. Nr i punonj 2022-2024</vt:lpstr>
      <vt:lpstr>P5.Art.602_SpRi_08140_2022-2024</vt:lpstr>
      <vt:lpstr>P6. Art 603</vt:lpstr>
      <vt:lpstr>P7.Sporti Rin Art 604_2022-2024</vt:lpstr>
      <vt:lpstr>P8 Art 605_Sporti Rin 2022-2024</vt:lpstr>
      <vt:lpstr>P9 Art 606_09120_2022-2024</vt:lpstr>
      <vt:lpstr>P2. Buxheti Cash flow Viti 2022</vt:lpstr>
      <vt:lpstr>P10. Cash Flow 2022</vt:lpstr>
      <vt:lpstr>P.11 Inves Finan Brend2022-2024</vt:lpstr>
      <vt:lpstr>P.12 Fin. Huaj 2022-2024</vt:lpstr>
      <vt:lpstr>Sheet2</vt:lpstr>
      <vt:lpstr>Sheet3</vt:lpstr>
      <vt:lpstr>'Llog_ardhurave 2022-2024'!Print_Area</vt:lpstr>
      <vt:lpstr>'P.11 Inves Finan Brend2022-2024'!Print_Area</vt:lpstr>
      <vt:lpstr>'P.12 Fin. Huaj 2022-2024'!Print_Area</vt:lpstr>
      <vt:lpstr>'P10. Cash Flow 2022'!Print_Area</vt:lpstr>
      <vt:lpstr>'P2. Buxheti Cash flow Viti 2022'!Print_Area</vt:lpstr>
      <vt:lpstr>'P5.Art.602_SpRi_08140_2022-2024'!Print_Area</vt:lpstr>
      <vt:lpstr>'P8 Art 605_Sporti Rin 2022-2024'!Print_Area</vt:lpstr>
      <vt:lpstr>'Tab_1_Të_Ardhura 2022-2024'!Print_Area</vt:lpstr>
      <vt:lpstr>'Te dhena fillesat 2022'!Print_Area</vt:lpstr>
      <vt:lpstr>'Llog_ardhurave 2022-2024'!Print_Titles</vt:lpstr>
      <vt:lpstr>'P.11 Inves Finan Brend2022-2024'!Print_Titles</vt:lpstr>
      <vt:lpstr>'P10. Cash Flow 2022'!Print_Titles</vt:lpstr>
      <vt:lpstr>'P5.Art.602_SpRi_08140_2022-2024'!Print_Titles</vt:lpstr>
      <vt:lpstr>'P7.Sporti Rin Art 604_2022-2024'!Print_Titles</vt:lpstr>
      <vt:lpstr>'P9 Art 606_09120_2022-2024'!Print_Titles</vt:lpstr>
    </vt:vector>
  </TitlesOfParts>
  <Company>UNIEL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Florian Nurce</dc:creator>
  <cp:lastModifiedBy>Lenovo</cp:lastModifiedBy>
  <cp:lastPrinted>2021-08-03T12:23:36Z</cp:lastPrinted>
  <dcterms:created xsi:type="dcterms:W3CDTF">1998-05-16T23:30:03Z</dcterms:created>
  <dcterms:modified xsi:type="dcterms:W3CDTF">2021-08-03T12:32:09Z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